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An0V+cCVRzZRUxFqKcWYa4PoWStpB/ghVHBSKYYX5rARjvkPOzAnKBWTh/SauiGuHpSsLxfe1bbpeqVB/kogpg==" workbookSaltValue="6CoGhbTOeqJTogrPSxfs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BH19" i="13"/>
  <c r="R8" i="9"/>
  <c r="X12" i="21" s="1"/>
  <c r="EP19" i="8"/>
  <c r="EP19" i="19"/>
  <c r="AP16" i="20"/>
  <c r="BH9" i="16"/>
  <c r="V15" i="11"/>
  <c r="BJ17" i="11"/>
  <c r="BH15" i="11"/>
  <c r="BH15" i="16"/>
  <c r="Q17" i="20"/>
  <c r="Q18" i="20" s="1"/>
  <c r="V11" i="16"/>
  <c r="BF17" i="11"/>
  <c r="BF16" i="11"/>
  <c r="S17" i="16"/>
  <c r="BL12" i="11"/>
  <c r="AT17" i="20"/>
  <c r="V17" i="16"/>
  <c r="K18" i="2"/>
  <c r="E12" i="6"/>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5" i="2"/>
  <c r="V10" i="16"/>
  <c r="V9" i="16"/>
  <c r="BA18" i="13"/>
  <c r="AH20" i="20"/>
  <c r="AL20" i="20"/>
  <c r="AB20" i="20"/>
  <c r="AN20" i="20"/>
  <c r="Y20" i="20"/>
  <c r="U10" i="11"/>
  <c r="AO20" i="20"/>
  <c r="AC19" i="8" l="1"/>
  <c r="BD16" i="8"/>
  <c r="AJ19" i="8"/>
  <c r="T19" i="8"/>
  <c r="BG15" i="8"/>
  <c r="BD12" i="8"/>
  <c r="H12" i="7" s="1"/>
  <c r="AY13" i="8"/>
  <c r="AC10" i="11"/>
  <c r="H13" i="12"/>
  <c r="B13" i="7"/>
  <c r="C17" i="6"/>
  <c r="M13" i="2"/>
  <c r="B10" i="6"/>
  <c r="AL12" i="11"/>
  <c r="AO12" i="11"/>
  <c r="H12" i="2"/>
  <c r="K15" i="7"/>
  <c r="L9" i="14"/>
  <c r="C10" i="6"/>
  <c r="I10" i="12" s="1"/>
  <c r="AO17" i="11"/>
  <c r="L16" i="14"/>
  <c r="L17" i="14"/>
  <c r="T17" i="11"/>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O16" i="11"/>
  <c r="AG20" i="20"/>
  <c r="S20" i="20"/>
  <c r="U16" i="11"/>
  <c r="G18" i="14"/>
  <c r="AE20" i="20"/>
  <c r="AU20" i="20"/>
  <c r="AF20" i="20"/>
  <c r="F20" i="20"/>
  <c r="AK20" i="20"/>
  <c r="W20" i="21"/>
  <c r="AV20" i="20"/>
  <c r="AQ20" i="21"/>
  <c r="K20" i="20"/>
  <c r="AD20" i="20"/>
  <c r="AJ20" i="20"/>
  <c r="J20" i="20"/>
  <c r="U12" i="11"/>
  <c r="Z20" i="20"/>
  <c r="X20" i="20"/>
  <c r="C13" i="6" l="1"/>
  <c r="K9" i="12"/>
  <c r="J18" i="2"/>
  <c r="F13"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K19" i="16" l="1"/>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<sst xmlns="http://schemas.openxmlformats.org/spreadsheetml/2006/main" count="2074" uniqueCount="909">
  <si>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</si>
  <si>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</si>
  <si>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</si>
  <si>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</si>
  <si>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</si>
  <si>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</si>
  <si>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</si>
  <si>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</si>
  <si>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</si>
  <si>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</si>
  <si>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</si>
  <si>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</si>
  <si>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</si>
  <si>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</si>
  <si>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</si>
  <si>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</si>
  <si>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</si>
  <si>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</si>
  <si>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</si>
  <si>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</si>
  <si>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</si>
  <si>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</si>
  <si>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</si>
  <si>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</si>
  <si>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</si>
  <si>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</si>
  <si>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</si>
  <si>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</si>
  <si>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</si>
  <si>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</si>
  <si>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</si>
  <si>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</si>
  <si>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</si>
  <si>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</si>
  <si>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</si>
  <si>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</si>
  <si>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</si>
  <si>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</si>
  <si>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</si>
  <si>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</si>
  <si>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</si>
  <si>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</si>
  <si>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</si>
  <si>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</si>
  <si>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</si>
  <si>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</si>
  <si>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</si>
  <si>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</si>
  <si>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</si>
  <si>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</si>
  <si>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</si>
  <si>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</si>
  <si>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</si>
  <si>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</si>
  <si>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</si>
  <si>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</si>
  <si>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</si>
  <si>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</si>
  <si>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</si>
  <si>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</si>
  <si>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</si>
  <si>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</si>
  <si>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</si>
  <si>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</si>
  <si>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</si>
  <si>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</si>
  <si>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</si>
  <si>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</si>
  <si>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</si>
  <si>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</si>
  <si>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</si>
  <si>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</si>
  <si>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</si>
  <si>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</si>
  <si>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</si>
  <si>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</si>
  <si>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</si>
  <si>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</si>
  <si>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</si>
  <si>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</si>
  <si>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</si>
  <si>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</si>
  <si>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</si>
  <si>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</si>
  <si>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</si>
  <si>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</si>
  <si>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</si>
  <si>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</si>
  <si>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</si>
  <si>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</si>
  <si>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</si>
  <si>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</si>
  <si>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</si>
  <si>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</si>
  <si>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</si>
  <si>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</si>
  <si>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</si>
  <si>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</si>
  <si>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</si>
  <si>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</si>
  <si>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</si>
  <si>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</si>
  <si>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</si>
  <si>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</si>
  <si>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</si>
  <si>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</si>
  <si>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</si>
  <si>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</si>
  <si>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</si>
  <si>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</si>
  <si>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</si>
  <si>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</si>
  <si>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</si>
  <si>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</si>
  <si>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</si>
  <si>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</si>
  <si>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</si>
  <si>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</si>
  <si>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</si>
  <si>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</si>
  <si>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</si>
  <si>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</si>
  <si>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</si>
  <si>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</si>
  <si>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</si>
  <si>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</si>
  <si>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</si>
  <si>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</si>
  <si>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</si>
  <si>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</si>
  <si>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</si>
  <si>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</si>
  <si>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</si>
  <si>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</si>
  <si>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</si>
  <si>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</si>
  <si>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</si>
  <si>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</si>
  <si>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</si>
  <si>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</si>
  <si>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</si>
  <si>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</si>
  <si>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</si>
  <si>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</si>
  <si>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</si>
  <si>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</si>
  <si>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</si>
  <si>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</si>
  <si>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</si>
  <si>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</si>
  <si>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</si>
  <si>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</si>
  <si>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</si>
  <si>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</si>
  <si>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</si>
  <si>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</si>
  <si>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</si>
  <si>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</si>
  <si>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</si>
  <si>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</si>
  <si>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</si>
  <si>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</si>
  <si>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</si>
  <si>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</si>
  <si>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</si>
  <si>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</si>
  <si>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</si>
  <si>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</si>
  <si>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</si>
  <si>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</si>
  <si>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</si>
  <si>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</si>
  <si>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</si>
  <si>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</si>
  <si>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</si>
  <si>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</si>
  <si>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</si>
  <si>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</si>
  <si>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</si>
  <si>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</si>
  <si>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</si>
  <si>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</si>
  <si>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</si>
  <si>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</si>
  <si>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</si>
  <si>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</si>
  <si>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</si>
  <si>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</si>
  <si>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</si>
  <si>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</si>
  <si>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</si>
  <si>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</si>
  <si>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</si>
  <si>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</si>
  <si>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</si>
  <si>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</si>
  <si>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</si>
  <si>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</si>
  <si>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</si>
  <si>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</si>
  <si>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</si>
  <si>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</si>
  <si>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</si>
  <si>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</si>
  <si>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</si>
  <si>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</si>
  <si>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</si>
  <si>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</si>
  <si>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</si>
  <si>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</si>
  <si>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</si>
  <si>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</si>
  <si>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</si>
  <si>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</si>
  <si>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</si>
  <si>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</si>
  <si>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</si>
  <si>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</si>
  <si>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</si>
  <si>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</si>
  <si>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</si>
  <si>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</si>
  <si>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</si>
  <si>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</si>
  <si>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</si>
  <si>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</si>
  <si>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</si>
  <si>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</si>
  <si>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</si>
  <si>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</si>
  <si>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</si>
  <si>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</si>
  <si>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</si>
  <si>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</si>
  <si>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</si>
  <si>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</si>
  <si>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</si>
  <si>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</si>
  <si>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</si>
  <si>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</si>
  <si>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</si>
  <si>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</si>
  <si>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</si>
  <si>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</si>
  <si>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</si>
  <si>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</si>
  <si>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</si>
  <si>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</si>
  <si>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</si>
  <si>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</si>
  <si>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</si>
  <si>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</si>
  <si>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</si>
  <si>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</si>
  <si>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</si>
  <si>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</si>
  <si>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</si>
  <si>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</si>
  <si>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</si>
  <si>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</si>
  <si>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</si>
  <si>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</si>
  <si>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</si>
  <si>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</si>
  <si>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</si>
  <si>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</si>
  <si>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</si>
  <si>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</si>
  <si>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</si>
  <si>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</si>
  <si>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</si>
  <si>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</si>
  <si>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</si>
  <si>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</si>
  <si>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</si>
  <si>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</si>
  <si>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</si>
  <si>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</si>
  <si>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</si>
  <si>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</si>
  <si>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</si>
  <si>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</si>
  <si>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</si>
  <si>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</si>
  <si>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</si>
  <si>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</si>
  <si>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</si>
  <si>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</si>
  <si>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</si>
  <si>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</si>
  <si>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</si>
  <si>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</si>
  <si>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</si>
  <si>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</si>
  <si>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</si>
  <si>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</si>
  <si>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</si>
  <si>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</si>
  <si>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</si>
  <si>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</si>
  <si>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</si>
  <si>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</si>
  <si>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</si>
  <si>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</si>
  <si>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</si>
  <si>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</si>
  <si>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</si>
  <si>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</si>
  <si>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</si>
  <si>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</si>
  <si>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</si>
  <si>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</si>
  <si>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</si>
  <si>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</si>
  <si>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</si>
  <si>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</si>
  <si>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</si>
  <si>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</si>
  <si>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</si>
  <si>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</si>
  <si>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</si>
  <si>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</si>
  <si>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</si>
  <si>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</si>
  <si>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</si>
  <si>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</si>
  <si>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</si>
  <si>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</si>
  <si>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</si>
  <si>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</si>
  <si>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</si>
  <si>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</si>
  <si>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</si>
  <si>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</si>
  <si>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</si>
  <si>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</si>
  <si>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</si>
  <si>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</si>
  <si>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</si>
  <si>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</si>
  <si>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</si>
  <si>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</si>
  <si>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</si>
  <si>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</si>
  <si>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</si>
  <si>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</si>
  <si>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</si>
  <si>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</si>
  <si>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</si>
  <si>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</si>
  <si>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</si>
  <si>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</si>
  <si>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</si>
  <si>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</si>
  <si>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</si>
  <si>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</si>
  <si>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</si>
  <si>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</si>
  <si>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</si>
  <si>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</si>
  <si>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</si>
  <si>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</si>
  <si>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</si>
  <si>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</si>
  <si>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</si>
  <si>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</si>
  <si>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</si>
  <si>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</si>
  <si>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</si>
  <si>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</si>
  <si>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</si>
  <si>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</si>
  <si>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</si>
  <si>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</si>
  <si>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</si>
  <si>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</si>
  <si>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</si>
  <si>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</si>
  <si>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</si>
  <si>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</si>
  <si>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</si>
  <si>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</si>
  <si>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</si>
  <si>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</si>
  <si>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</si>
  <si>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</si>
  <si>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</si>
  <si>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</si>
  <si>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</si>
  <si>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</si>
  <si>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</si>
  <si>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</si>
  <si>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</si>
  <si>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</si>
  <si>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</si>
  <si>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</si>
  <si>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</si>
  <si>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</si>
  <si>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</si>
  <si>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</si>
  <si>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</si>
  <si>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</si>
  <si>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</si>
  <si>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</si>
  <si>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</si>
  <si>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</si>
  <si>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</si>
  <si>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</si>
  <si>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</si>
  <si>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</si>
  <si>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</si>
  <si>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</si>
  <si>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</si>
  <si>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</si>
  <si>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</si>
  <si>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</si>
  <si>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</si>
  <si>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</si>
  <si>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</si>
  <si>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</si>
  <si>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</si>
  <si>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</si>
  <si>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</si>
  <si>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</si>
  <si>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</si>
  <si>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</si>
  <si>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</si>
  <si>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</si>
  <si>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</si>
  <si>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</si>
  <si>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</si>
  <si>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</si>
  <si>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</si>
  <si>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</si>
  <si>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</si>
  <si>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</si>
  <si>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</si>
  <si>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</si>
  <si>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</si>
  <si>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</si>
  <si>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</si>
  <si>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</si>
  <si>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</si>
  <si>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</si>
  <si>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</si>
  <si>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</si>
  <si>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</si>
  <si>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</si>
  <si>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</si>
  <si>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</si>
  <si>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</si>
  <si>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</si>
  <si>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</si>
  <si>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</si>
  <si>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</si>
  <si>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</si>
  <si>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</si>
  <si>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</si>
  <si>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</si>
  <si>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</si>
  <si>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</si>
  <si>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</si>
  <si>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</si>
  <si>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</si>
  <si>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</si>
  <si>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</si>
  <si>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</si>
  <si>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</si>
  <si>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</si>
  <si>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</si>
  <si>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</si>
  <si>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</si>
  <si>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</si>
  <si>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</si>
  <si>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</si>
  <si>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</si>
  <si>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</si>
  <si>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</si>
  <si>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</si>
  <si>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</si>
  <si>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</si>
  <si>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</si>
  <si>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</si>
  <si>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</si>
  <si>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</si>
  <si>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</si>
  <si>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</si>
  <si>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</si>
  <si>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</si>
  <si>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</si>
  <si>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</si>
  <si>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</si>
  <si>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</si>
  <si>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</si>
  <si>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</si>
  <si>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</si>
  <si>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</si>
  <si>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</si>
  <si>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</si>
  <si>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</si>
  <si>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</si>
  <si>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</si>
  <si>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</si>
  <si>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</si>
  <si>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</si>
  <si>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</si>
  <si>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</si>
  <si>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</si>
  <si>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</si>
  <si>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</si>
  <si>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</si>
  <si>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</si>
  <si>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</si>
  <si>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</si>
  <si>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</si>
  <si>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</si>
  <si>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</si>
  <si>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</si>
  <si>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</si>
  <si>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</si>
  <si>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</si>
  <si>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</si>
  <si>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</si>
  <si>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</si>
  <si>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</si>
  <si>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</si>
  <si>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</si>
  <si>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</si>
  <si>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</si>
  <si>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</si>
  <si>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</si>
  <si>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</si>
  <si>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</si>
  <si>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</si>
  <si>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</si>
  <si>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</si>
  <si>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</si>
  <si>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</si>
  <si>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</si>
  <si>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</si>
  <si>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</si>
  <si>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</si>
  <si>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</si>
  <si>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</si>
  <si>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</si>
  <si>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</si>
  <si>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</si>
  <si>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</si>
  <si>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</si>
  <si>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</si>
  <si>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</si>
  <si>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</si>
  <si>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</si>
  <si>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</si>
  <si>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</si>
  <si>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</si>
  <si>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</si>
  <si>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</si>
  <si>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</si>
  <si>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</si>
  <si>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</si>
  <si>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</si>
  <si>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</si>
  <si>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</si>
  <si>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</si>
  <si>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</si>
  <si>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</si>
  <si>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</si>
  <si>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</si>
  <si>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</si>
  <si>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</si>
  <si>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</si>
  <si>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</si>
  <si>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</si>
  <si>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</si>
  <si>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</si>
  <si>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</si>
  <si>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</si>
  <si>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</si>
  <si>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</si>
  <si>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</si>
  <si>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</si>
  <si>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</si>
  <si>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</si>
  <si>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</si>
  <si>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</si>
  <si>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</si>
  <si>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</si>
  <si>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</si>
  <si>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</si>
  <si>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</si>
  <si>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</si>
  <si>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</si>
  <si>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</si>
  <si>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</si>
  <si>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</si>
  <si>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</si>
  <si>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</si>
  <si>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</si>
  <si>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</si>
  <si>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</si>
  <si>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</si>
  <si>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</si>
  <si>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</si>
  <si>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</si>
  <si>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</si>
  <si>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</si>
  <si>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</si>
  <si>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</si>
  <si>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</si>
  <si>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</si>
  <si>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</si>
  <si>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</si>
  <si>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</si>
  <si>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</si>
  <si>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</si>
  <si>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</si>
  <si>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</si>
  <si>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</si>
  <si>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</si>
  <si>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</si>
  <si>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</si>
  <si>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</si>
  <si>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</si>
  <si>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</si>
  <si>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</si>
  <si>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</si>
  <si>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</si>
  <si>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</si>
  <si>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</si>
  <si>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</si>
  <si>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</si>
  <si>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</si>
  <si>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</si>
  <si>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</si>
  <si>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</si>
  <si>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</si>
  <si>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</si>
  <si>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</si>
  <si>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</si>
  <si>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</si>
  <si>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</si>
  <si>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</si>
  <si>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</si>
  <si>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</si>
  <si>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</si>
  <si>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</si>
  <si>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</si>
  <si>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</si>
  <si>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</si>
  <si>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</si>
  <si>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</si>
  <si>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</si>
  <si>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</si>
  <si>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</si>
  <si>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</si>
  <si>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</si>
  <si>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</si>
  <si>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</si>
  <si>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</si>
  <si>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</si>
  <si>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</si>
  <si>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</si>
  <si>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</si>
  <si>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</si>
  <si>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</si>
  <si>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</si>
  <si>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</si>
  <si>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</si>
  <si>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</si>
  <si>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</si>
  <si>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</si>
  <si>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</si>
  <si>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</si>
  <si>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</si>
  <si>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</si>
  <si>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</si>
  <si>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</si>
  <si>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</si>
  <si>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</si>
  <si>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</si>
  <si>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</si>
  <si>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</si>
  <si>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</si>
  <si>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</si>
  <si>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</si>
  <si>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</si>
  <si>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</si>
  <si>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</si>
  <si>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</si>
  <si>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</si>
  <si>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</si>
  <si>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</si>
  <si>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</si>
  <si>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</si>
  <si>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</si>
  <si>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</si>
  <si>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</si>
  <si>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</si>
  <si>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</si>
  <si>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</si>
  <si>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</si>
  <si>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</si>
  <si>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</si>
  <si>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</si>
  <si>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</si>
  <si>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</si>
  <si>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</si>
  <si>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</si>
  <si>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</si>
  <si>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</si>
  <si>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</si>
  <si>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</si>
  <si>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</si>
  <si>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</si>
  <si>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</si>
  <si>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</si>
  <si>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</si>
  <si>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</si>
  <si>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</si>
  <si>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</si>
  <si>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</si>
  <si>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</si>
  <si>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</si>
  <si>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</si>
  <si>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</si>
  <si>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</si>
  <si>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</si>
  <si>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</si>
  <si>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</si>
  <si>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</si>
  <si>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</si>
  <si>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</si>
  <si>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</si>
  <si>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</si>
  <si>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</si>
  <si>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</si>
  <si>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</si>
  <si>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</si>
  <si>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</si>
  <si>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</si>
  <si>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</si>
  <si>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</si>
  <si>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</si>
  <si>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</si>
  <si>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</si>
  <si>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</si>
  <si>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</si>
  <si>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</si>
  <si>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</si>
  <si>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</si>
  <si>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</si>
  <si>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</si>
  <si>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</si>
  <si>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</si>
  <si>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</si>
  <si>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</si>
  <si>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</si>
  <si>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</si>
  <si>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</si>
  <si>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</si>
  <si>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</si>
  <si>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</si>
  <si>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</si>
  <si>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</si>
  <si>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</si>
  <si>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</si>
  <si>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</si>
  <si>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</si>
  <si>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</si>
  <si>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</si>
  <si>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</si>
  <si>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</si>
  <si>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</si>
  <si>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</si>
  <si>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</si>
  <si>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</si>
  <si>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</si>
  <si>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</si>
  <si>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</si>
  <si>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</si>
  <si>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</si>
  <si>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</si>
  <si>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</si>
  <si>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</si>
  <si>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</si>
  <si>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</si>
  <si>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</si>
  <si>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</si>
  <si>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</si>
  <si>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</si>
  <si>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</si>
  <si>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</si>
  <si>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</si>
  <si>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</si>
  <si>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</si>
  <si>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</si>
  <si>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</si>
  <si>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</si>
  <si>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</si>
  <si>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</si>
  <si>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</si>
  <si>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</si>
  <si>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</si>
  <si>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</si>
  <si>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</si>
  <si>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</si>
  <si>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</si>
  <si>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</si>
  <si>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</si>
  <si>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</si>
  <si>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</si>
  <si>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</si>
  <si>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</si>
  <si>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</si>
  <si>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</si>
  <si>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</si>
  <si>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</si>
  <si>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</si>
  <si>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</si>
  <si>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</si>
  <si>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</si>
  <si>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</si>
  <si>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</si>
  <si>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</si>
  <si>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</si>
  <si>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</si>
  <si>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</si>
  <si>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</si>
  <si>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</si>
  <si>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</si>
  <si>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</si>
  <si>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</si>
  <si>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</si>
  <si>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</si>
  <si>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</si>
  <si>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</si>
  <si>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</si>
  <si>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</si>
  <si>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</si>
  <si>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</si>
  <si>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</si>
  <si>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</si>
  <si>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</si>
  <si>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</si>
  <si>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</si>
  <si>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</si>
  <si>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</si>
  <si>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</si>
  <si>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</si>
  <si>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</si>
  <si>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</si>
  <si>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</si>
  <si>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</si>
  <si>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</si>
  <si>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</si>
  <si>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</si>
  <si>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</si>
  <si>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</si>
  <si>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</si>
  <si>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</si>
  <si>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</si>
  <si>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</si>
  <si>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</si>
  <si>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</si>
  <si>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</si>
  <si>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</si>
  <si>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</si>
  <si>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</si>
  <si>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</si>
  <si>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</si>
  <si>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</si>
  <si>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</si>
  <si>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</si>
  <si>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</si>
  <si>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</si>
  <si>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</si>
  <si>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</si>
  <si>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</si>
  <si>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</si>
  <si>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</si>
  <si>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</si>
  <si>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</si>
  <si>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</si>
  <si>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</si>
  <si>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</si>
  <si>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</si>
  <si>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</si>
  <si>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</si>
  <si>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</si>
  <si>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</si>
  <si>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</si>
  <si>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</si>
  <si>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</si>
  <si>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</si>
  <si>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</si>
  <si>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</si>
  <si>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</si>
  <si>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</si>
  <si>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</si>
  <si>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</si>
  <si>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</si>
  <si>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</si>
  <si>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</si>
  <si>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</si>
  <si>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</si>
  <si>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</si>
  <si>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</si>
  <si>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BENIDORM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</si>
</sst>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kTAcK44yWnr5V+p0eCLaVjFV04EHUWhMCF/TnD2hfSX5qygc5RLuGbnTvoVZCNtHeSXFZCzgcXyO/rg/+86OA==" saltValue="xl4HWjmZwvmRRd9e3c0X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37.58906967042136</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106</v>
      </c>
      <c r="D10" s="225">
        <f>IF(ISNUMBER(Datos!I10),Datos!I10," - ")</f>
        <v>106</v>
      </c>
      <c r="E10" s="226">
        <f>IF(ISNUMBER(Datos!J10),Datos!J10," - ")</f>
        <v>37</v>
      </c>
      <c r="F10" s="226">
        <f>IF(ISNUMBER(Datos!K10),Datos!K10," - ")</f>
        <v>27</v>
      </c>
      <c r="G10" s="1034" t="str">
        <f>IF(Datos!E10&lt;&gt;"",Datos!E10,Datos!D10)</f>
        <v>37</v>
      </c>
      <c r="H10" s="227">
        <f>IF(ISNUMBER(Datos!L10),Datos!L10," - ")</f>
        <v>116</v>
      </c>
      <c r="I10" s="1044" t="str">
        <f>IF(ISNUMBER(Datos!AS10/Datos!BM10),Datos!AS10/Datos!BM10," - ")</f>
        <v xml:space="preserve"> - </v>
      </c>
      <c r="J10" s="1045">
        <f>IF(ISNUMBER(Datos!BY10/Datos!CN10),Datos!BY10/Datos!CN10," - ")</f>
        <v>0</v>
      </c>
      <c r="K10" s="230">
        <f t="shared" ref="K10:K12" si="1">IF(ISNUMBER((E10-F10)/C10),(E10-F10)/C10," - ")</f>
        <v>9.4339622641509441E-2</v>
      </c>
      <c r="L10" s="1025">
        <f>IF(ISNUMBER(NºAsuntos!I10/NºAsuntos!G10),(NºAsuntos!I10/NºAsuntos!G10)*11," - ")</f>
        <v>47.259259259259267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106</v>
      </c>
      <c r="D13" s="1049">
        <f>SUBTOTAL(9,D9:D12)</f>
        <v>106</v>
      </c>
      <c r="E13" s="1050">
        <f>SUBTOTAL(9,E9:E12)</f>
        <v>37</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3240</v>
      </c>
      <c r="D15" s="225">
        <f>IF(ISNUMBER(IF(D_I="SI",Datos!I15,Datos!I15+Datos!AC15)),IF(D_I="SI",Datos!I15,Datos!I15+Datos!AC15)," - ")</f>
        <v>3192</v>
      </c>
      <c r="E15" s="226">
        <f>IF(ISNUMBER(IF(D_I="SI",Datos!J15,Datos!J15+Datos!AD15)),IF(D_I="SI",Datos!J15,Datos!J15+Datos!AD15)," - ")</f>
        <v>1863</v>
      </c>
      <c r="F15" s="226">
        <f>IF(ISNUMBER(IF(D_I="SI",Datos!K15,Datos!K15+Datos!AE15)),IF(D_I="SI",Datos!K15,Datos!K15+Datos!AE15)," - ")</f>
        <v>1743</v>
      </c>
      <c r="G15" s="1034" t="str">
        <f>IF(Datos!E15&lt;&gt;"",Datos!E15,Datos!D15)</f>
        <v>03</v>
      </c>
      <c r="H15" s="227">
        <f>IF(ISNUMBER(IF(D_I="SI",Datos!L15,Datos!L15+Datos!AF15)),IF(D_I="SI",Datos!L15,Datos!L15+Datos!AF15)," - ")</f>
        <v>3360</v>
      </c>
      <c r="I15" s="1044" t="str">
        <f>IF(ISNUMBER(Datos!AS15/Datos!BM15),Datos!AS15/Datos!BM15," - ")</f>
        <v xml:space="preserve"> - </v>
      </c>
      <c r="J15" s="1045">
        <f>IF(ISNUMBER(Datos!BY15/Datos!CN15),Datos!BY15/Datos!CN15," - ")</f>
        <v>0</v>
      </c>
      <c r="K15" s="230">
        <f t="shared" ref="K15:K17" si="3">IF(ISNUMBER((E15-F15)/C15),(E15-F15)/C15," - ")</f>
        <v>3.7037037037037035E-2</v>
      </c>
      <c r="L15" s="1025">
        <f>IF(ISNUMBER(NºAsuntos!I15/NºAsuntos!G15),(NºAsuntos!I15/NºAsuntos!G15)*11," - ")</f>
        <v>21.204819277108435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332</v>
      </c>
      <c r="D17" s="225">
        <f>IF(ISNUMBER(IF(D_I="SI",Datos!I17,Datos!I17+Datos!AC17)),IF(D_I="SI",Datos!I17,Datos!I17+Datos!AC17)," - ")</f>
        <v>332</v>
      </c>
      <c r="E17" s="226">
        <f>IF(ISNUMBER(IF(D_I="SI",Datos!J17,Datos!J17+Datos!AD17)),IF(D_I="SI",Datos!J17,Datos!J17+Datos!AD17)," - ")</f>
        <v>408</v>
      </c>
      <c r="F17" s="226">
        <f>IF(ISNUMBER(IF(D_I="SI",Datos!K17,Datos!K17+Datos!AE17)),IF(D_I="SI",Datos!K17,Datos!K17+Datos!AE17)," - ")</f>
        <v>389</v>
      </c>
      <c r="G17" s="1034" t="str">
        <f>IF(Datos!E17&lt;&gt;"",Datos!E17,Datos!D17)</f>
        <v>37</v>
      </c>
      <c r="H17" s="227">
        <f>IF(ISNUMBER(IF(D_I="SI",Datos!L17,Datos!L17+Datos!AF17)),IF(D_I="SI",Datos!L17,Datos!L17+Datos!AF17)," - ")</f>
        <v>351</v>
      </c>
      <c r="I17" s="1044" t="str">
        <f>IF(ISNUMBER(Datos!AS17/Datos!BM17),Datos!AS17/Datos!BM17," - ")</f>
        <v xml:space="preserve"> - </v>
      </c>
      <c r="J17" s="1045" t="str">
        <f>IF(ISNUMBER((Datos!BY17+Datos!BZ17)/Datos!CN17),(Datos!BY17+Datos!BZ17)/Datos!CN17," - ")</f>
        <v xml:space="preserve"> - </v>
      </c>
      <c r="K17" s="230">
        <f t="shared" si="3"/>
        <v>5.7228915662650599E-2</v>
      </c>
      <c r="L17" s="1025">
        <f>IF(ISNUMBER(NºAsuntos!I17/NºAsuntos!G17),(NºAsuntos!I17/NºAsuntos!G17)*11," - ")</f>
        <v>9.9254498714652968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3574</v>
      </c>
      <c r="D18" s="1049">
        <f>SUBTOTAL(9,D15:D17)</f>
        <v>3526</v>
      </c>
      <c r="E18" s="1050">
        <f>SUBTOTAL(9,E15:E17)</f>
        <v>2271</v>
      </c>
      <c r="F18" s="1050">
        <f>SUBTOTAL(9,F15:F17)</f>
        <v>2132</v>
      </c>
      <c r="G18" s="1052" t="str">
        <f ca="1">INDIRECT(CONCATENATE("G",ROW()-1))</f>
        <v>37</v>
      </c>
      <c r="H18" s="1053">
        <f ca="1">SUMIF(G$14:G17,G18,H$14:H17)</f>
        <v>351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3680</v>
      </c>
      <c r="D19" s="1071">
        <f>SUBTOTAL(9,D9:D18)</f>
        <v>3632</v>
      </c>
      <c r="E19" s="1072">
        <f>SUBTOTAL(9,E9:E18)</f>
        <v>2308</v>
      </c>
      <c r="F19" s="1072">
        <f>SUBTOTAL(9,F9:F18)</f>
        <v>2159</v>
      </c>
      <c r="G19" s="1073"/>
      <c r="H19" s="1074">
        <f ca="1">SUMIF(B9:B18,"TOTAL",H9:H18)</f>
        <v>351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ta6yH0ESYZSfaknbl9FCt+23J2sZTvL9zutnLUwjQY4WRQ/TjN9Q4KQW/WWIFBUvHn4qPA4y0jsQL65+YRwGXw==" saltValue="WAeS9buQuIOpXQXrINnAL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5Zi/yDP5GnGAMQGZ5JVA2vy4q0BdKFLbAUiyQve70Ypgel5Lo4BAyEMAVpPcaWGetalPtxVDbD5CziIHgiuw==" saltValue="ZBlgyiAmUm7Sd84FH9Fx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6572</v>
      </c>
      <c r="J9" s="181">
        <v>3719</v>
      </c>
      <c r="K9" s="181">
        <v>2318</v>
      </c>
      <c r="L9" s="181">
        <v>7973</v>
      </c>
      <c r="M9" s="181">
        <v>586</v>
      </c>
      <c r="N9" s="181">
        <v>930</v>
      </c>
      <c r="O9" s="181">
        <v>1087</v>
      </c>
      <c r="P9" s="181">
        <v>466</v>
      </c>
      <c r="Q9" s="181">
        <v>516</v>
      </c>
      <c r="R9" s="181">
        <v>6697</v>
      </c>
      <c r="S9" s="181">
        <v>5253</v>
      </c>
      <c r="T9" s="181">
        <v>2046</v>
      </c>
      <c r="U9" s="181">
        <v>2182</v>
      </c>
      <c r="V9" s="181">
        <v>5340</v>
      </c>
      <c r="W9" s="181">
        <v>482</v>
      </c>
      <c r="X9" s="188">
        <v>937</v>
      </c>
      <c r="Y9" s="191">
        <v>181</v>
      </c>
      <c r="Z9" s="181">
        <v>116</v>
      </c>
      <c r="AA9" s="181">
        <v>79</v>
      </c>
      <c r="AB9" s="181">
        <v>218</v>
      </c>
      <c r="AC9" s="181">
        <v>0</v>
      </c>
      <c r="AD9" s="181">
        <v>0</v>
      </c>
      <c r="AE9" s="181">
        <v>0</v>
      </c>
      <c r="AF9" s="188">
        <v>0</v>
      </c>
      <c r="AG9" s="191">
        <v>150</v>
      </c>
      <c r="AH9" s="181">
        <v>87</v>
      </c>
      <c r="AI9" s="181">
        <v>110</v>
      </c>
      <c r="AJ9" s="192">
        <v>139</v>
      </c>
      <c r="AK9" s="180">
        <v>0</v>
      </c>
      <c r="AL9" s="181">
        <v>0</v>
      </c>
      <c r="AM9" s="181">
        <v>0</v>
      </c>
      <c r="AN9" s="188">
        <v>0</v>
      </c>
      <c r="AO9" s="258">
        <v>5</v>
      </c>
      <c r="AP9" s="154">
        <v>5</v>
      </c>
      <c r="AQ9" s="154">
        <v>5</v>
      </c>
      <c r="AR9" s="193">
        <v>5</v>
      </c>
      <c r="AS9" s="338" t="s">
        <v>790</v>
      </c>
      <c r="AT9" s="195"/>
      <c r="AU9" s="194"/>
      <c r="AV9" s="195"/>
      <c r="AW9" s="194"/>
      <c r="AX9" s="195"/>
      <c r="AY9" s="123">
        <f>IF(ISNUMBER(IF(J_V="SI",S9,S9+AG9)),IF(J_V="SI",S9,S9+AG9)," - ")</f>
        <v>5403</v>
      </c>
      <c r="AZ9" s="123">
        <f>IF(ISNUMBER(IF(J_V="SI",T9,T9+AH9)),IF(J_V="SI",T9,T9+AH9)," - ")</f>
        <v>2133</v>
      </c>
      <c r="BA9" s="124">
        <f>IF(ISNUMBER(IF(J_V="SI",U9,U9+AI9)),IF(J_V="SI",U9,U9+AI9)," - ")</f>
        <v>2292</v>
      </c>
      <c r="BB9" s="124">
        <f>IF(ISNUMBER(IF(J_V="SI",V9,V9+AJ9)),IF(J_V="SI",V9,V9+AJ9)," - ")</f>
        <v>5479</v>
      </c>
      <c r="BC9" s="125">
        <f>IF(ISNUMBER(X9),X9," - ")</f>
        <v>937</v>
      </c>
      <c r="BD9" s="126">
        <f>IF(ISNUMBER(BA9/AZ9),BA9/AZ9," - ")</f>
        <v>1.0745428973277074</v>
      </c>
      <c r="BE9" s="127">
        <f>IF(ISNUMBER(BB9/BA9),BB9/BA9, " - ")</f>
        <v>2.3904886561954624</v>
      </c>
      <c r="BF9" s="127">
        <f>IF(ISNUMBER(BC9/BA9),BC9/BA9, " - ")</f>
        <v>0.40881326352530539</v>
      </c>
      <c r="BG9" s="196">
        <f>IF(ISNUMBER((AY9+AZ9)/BA9),(AY9+AZ9)/BA9," - ")</f>
        <v>3.2879581151832462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106</v>
      </c>
      <c r="J10" s="181">
        <v>37</v>
      </c>
      <c r="K10" s="181">
        <v>27</v>
      </c>
      <c r="L10" s="181">
        <v>116</v>
      </c>
      <c r="M10" s="181">
        <v>17</v>
      </c>
      <c r="N10" s="181">
        <v>8</v>
      </c>
      <c r="O10" s="181">
        <v>4</v>
      </c>
      <c r="P10" s="181">
        <v>6</v>
      </c>
      <c r="Q10" s="181">
        <v>0</v>
      </c>
      <c r="R10" s="181">
        <v>46</v>
      </c>
      <c r="S10" s="181">
        <v>67</v>
      </c>
      <c r="T10" s="181">
        <v>51</v>
      </c>
      <c r="U10" s="181">
        <v>29</v>
      </c>
      <c r="V10" s="181">
        <v>89</v>
      </c>
      <c r="W10" s="181">
        <v>10</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67</v>
      </c>
      <c r="AZ10" s="129">
        <f t="shared" si="0"/>
        <v>51</v>
      </c>
      <c r="BA10" s="129">
        <f t="shared" si="0"/>
        <v>29</v>
      </c>
      <c r="BB10" s="129">
        <f t="shared" si="0"/>
        <v>89</v>
      </c>
      <c r="BC10" s="125">
        <f t="shared" si="0"/>
        <v>10</v>
      </c>
      <c r="BD10" s="126">
        <f>IF(ISNUMBER(BA10/AZ10),BA10/AZ10," - ")</f>
        <v>0.56862745098039214</v>
      </c>
      <c r="BE10" s="127">
        <f>IF(ISNUMBER(BB10/BA10),BB10/BA10, " - ")</f>
        <v>3.0689655172413794</v>
      </c>
      <c r="BF10" s="127">
        <f>IF(ISNUMBER(BC10/BA10),BC10/BA10, " - ")</f>
        <v>0.34482758620689657</v>
      </c>
      <c r="BG10" s="196">
        <f>IF(ISNUMBER((AY10+AZ10)/BA10),(AY10+AZ10)/BA10," - ")</f>
        <v>4.068965517241379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31</v>
      </c>
      <c r="S12" s="183">
        <v>2</v>
      </c>
      <c r="T12" s="183">
        <v>0</v>
      </c>
      <c r="U12" s="183">
        <v>0</v>
      </c>
      <c r="V12" s="183">
        <v>2</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793</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6679</v>
      </c>
      <c r="J13" s="184">
        <f t="shared" si="6"/>
        <v>3756</v>
      </c>
      <c r="K13" s="184">
        <f t="shared" si="6"/>
        <v>2345</v>
      </c>
      <c r="L13" s="184">
        <f t="shared" si="6"/>
        <v>8090</v>
      </c>
      <c r="M13" s="184">
        <f t="shared" si="6"/>
        <v>603</v>
      </c>
      <c r="N13" s="184">
        <f t="shared" si="6"/>
        <v>938</v>
      </c>
      <c r="O13" s="184">
        <f t="shared" si="6"/>
        <v>1091</v>
      </c>
      <c r="P13" s="184">
        <f t="shared" si="6"/>
        <v>472</v>
      </c>
      <c r="Q13" s="184">
        <f t="shared" si="6"/>
        <v>516</v>
      </c>
      <c r="R13" s="184">
        <f t="shared" si="6"/>
        <v>6774</v>
      </c>
      <c r="S13" s="184">
        <f t="shared" si="6"/>
        <v>5322</v>
      </c>
      <c r="T13" s="184">
        <f t="shared" si="6"/>
        <v>2097</v>
      </c>
      <c r="U13" s="184">
        <f t="shared" si="6"/>
        <v>2211</v>
      </c>
      <c r="V13" s="184">
        <f t="shared" si="6"/>
        <v>5431</v>
      </c>
      <c r="W13" s="184">
        <f t="shared" si="6"/>
        <v>492</v>
      </c>
      <c r="X13" s="184">
        <f t="shared" si="6"/>
        <v>952</v>
      </c>
      <c r="Y13" s="184">
        <f t="shared" si="6"/>
        <v>181</v>
      </c>
      <c r="Z13" s="184">
        <f t="shared" si="6"/>
        <v>116</v>
      </c>
      <c r="AA13" s="184">
        <f t="shared" si="6"/>
        <v>79</v>
      </c>
      <c r="AB13" s="184">
        <f t="shared" si="6"/>
        <v>218</v>
      </c>
      <c r="AC13" s="184">
        <f t="shared" si="6"/>
        <v>0</v>
      </c>
      <c r="AD13" s="184">
        <f t="shared" si="6"/>
        <v>0</v>
      </c>
      <c r="AE13" s="184">
        <f t="shared" si="6"/>
        <v>0</v>
      </c>
      <c r="AF13" s="184">
        <f>SUBTOTAL(9,AF9:AF12)</f>
        <v>0</v>
      </c>
      <c r="AG13" s="184">
        <f t="shared" ref="AG13:AT13" si="7">SUBTOTAL(9,AG8:AG12)</f>
        <v>150</v>
      </c>
      <c r="AH13" s="184">
        <f t="shared" si="7"/>
        <v>87</v>
      </c>
      <c r="AI13" s="184">
        <f t="shared" si="7"/>
        <v>110</v>
      </c>
      <c r="AJ13" s="184">
        <f t="shared" si="7"/>
        <v>139</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5472</v>
      </c>
      <c r="AZ13" s="184">
        <f>SUBTOTAL(9,AZ8:AZ12)</f>
        <v>2184</v>
      </c>
      <c r="BA13" s="184">
        <f>SUBTOTAL(9,BA8:BA12)</f>
        <v>2321</v>
      </c>
      <c r="BB13" s="184">
        <f>SUBTOTAL(9,BB8:BB12)</f>
        <v>5570</v>
      </c>
      <c r="BC13" s="184">
        <f>SUBTOTAL(9,BC8:BC12)</f>
        <v>947</v>
      </c>
      <c r="BD13" s="205">
        <f>IF(ISNUMBER(BA13/AZ13),BA13/AZ13," - ")</f>
        <v>1.0627289377289377</v>
      </c>
      <c r="BE13" s="206">
        <f>IF(ISNUMBER(BB13/BA13),BB13/BA13, " - ")</f>
        <v>2.3998276604911677</v>
      </c>
      <c r="BF13" s="206">
        <f>IF(ISNUMBER(BC13/BA13),BC13/BA13, " - ")</f>
        <v>0.40801378716070658</v>
      </c>
      <c r="BG13" s="207">
        <f>IF(ISNUMBER((AY13+AZ13)/BA13),(AY13+AZ13)/BA13," - ")</f>
        <v>3.2985781990521326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3192</v>
      </c>
      <c r="J15" s="183">
        <v>1863</v>
      </c>
      <c r="K15" s="183">
        <v>1743</v>
      </c>
      <c r="L15" s="183">
        <v>3360</v>
      </c>
      <c r="M15" s="183">
        <v>329</v>
      </c>
      <c r="N15" s="183">
        <v>923</v>
      </c>
      <c r="O15" s="181">
        <v>26</v>
      </c>
      <c r="P15" s="183">
        <v>101</v>
      </c>
      <c r="Q15" s="183">
        <v>119</v>
      </c>
      <c r="R15" s="183">
        <v>345</v>
      </c>
      <c r="S15" s="183">
        <v>2706</v>
      </c>
      <c r="T15" s="183">
        <v>2170</v>
      </c>
      <c r="U15" s="183">
        <v>2125</v>
      </c>
      <c r="V15" s="183">
        <v>2788</v>
      </c>
      <c r="W15" s="183">
        <v>335</v>
      </c>
      <c r="X15" s="189">
        <v>1224</v>
      </c>
      <c r="Y15" s="202">
        <v>0</v>
      </c>
      <c r="Z15" s="183">
        <v>0</v>
      </c>
      <c r="AA15" s="183">
        <v>0</v>
      </c>
      <c r="AB15" s="183">
        <v>0</v>
      </c>
      <c r="AC15" s="183">
        <v>0</v>
      </c>
      <c r="AD15" s="183">
        <v>1</v>
      </c>
      <c r="AE15" s="183">
        <v>1</v>
      </c>
      <c r="AF15" s="189">
        <v>0</v>
      </c>
      <c r="AG15" s="202">
        <v>0</v>
      </c>
      <c r="AH15" s="183">
        <v>0</v>
      </c>
      <c r="AI15" s="183">
        <v>0</v>
      </c>
      <c r="AJ15" s="203">
        <v>0</v>
      </c>
      <c r="AK15" s="182">
        <v>0</v>
      </c>
      <c r="AL15" s="183">
        <v>1</v>
      </c>
      <c r="AM15" s="183">
        <v>1</v>
      </c>
      <c r="AN15" s="189">
        <v>0</v>
      </c>
      <c r="AO15" s="259">
        <v>4</v>
      </c>
      <c r="AP15" s="155">
        <v>4</v>
      </c>
      <c r="AQ15" s="155">
        <v>4</v>
      </c>
      <c r="AR15" s="155">
        <v>4</v>
      </c>
      <c r="AS15" s="340" t="s">
        <v>518</v>
      </c>
      <c r="AT15" s="203" t="s">
        <v>326</v>
      </c>
      <c r="AU15" s="202"/>
      <c r="AV15" s="203"/>
      <c r="AW15" s="202"/>
      <c r="AX15" s="203"/>
      <c r="AY15" s="128">
        <f t="shared" ref="AY15:BB16" si="9">IF(ISNUMBER(IF(D_I="SI",S15,S15+AK15)),IF(D_I="SI",S15,S15+AK15)," - ")</f>
        <v>2706</v>
      </c>
      <c r="AZ15" s="129">
        <f t="shared" si="9"/>
        <v>2170</v>
      </c>
      <c r="BA15" s="129">
        <f t="shared" si="9"/>
        <v>2125</v>
      </c>
      <c r="BB15" s="129">
        <f t="shared" si="9"/>
        <v>2788</v>
      </c>
      <c r="BC15" s="125">
        <f>IF(ISNUMBER(W15),W15," - ")</f>
        <v>335</v>
      </c>
      <c r="BD15" s="126">
        <f>IF(ISNUMBER(BA15/AZ15),BA15/AZ15," - ")</f>
        <v>0.97926267281105994</v>
      </c>
      <c r="BE15" s="127">
        <f>IF(ISNUMBER(BB15/BA15),BB15/BA15, " - ")</f>
        <v>1.3120000000000001</v>
      </c>
      <c r="BF15" s="127">
        <f>IF(ISNUMBER(BC15/BA15),BC15/BA15, " - ")</f>
        <v>0.15764705882352942</v>
      </c>
      <c r="BG15" s="196">
        <f t="shared" ref="BG15:BG16" si="10">IF(ISNUMBER((AY15+AZ15)/BA15),(AY15+AZ15)/BA15," - ")</f>
        <v>2.2945882352941176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0</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332</v>
      </c>
      <c r="J17" s="183">
        <v>408</v>
      </c>
      <c r="K17" s="183">
        <v>389</v>
      </c>
      <c r="L17" s="183">
        <v>351</v>
      </c>
      <c r="M17" s="183">
        <v>53</v>
      </c>
      <c r="N17" s="183">
        <v>178</v>
      </c>
      <c r="O17" s="183">
        <v>1</v>
      </c>
      <c r="P17" s="183">
        <v>6</v>
      </c>
      <c r="Q17" s="183">
        <v>1</v>
      </c>
      <c r="R17" s="183">
        <v>10</v>
      </c>
      <c r="S17" s="183">
        <v>217</v>
      </c>
      <c r="T17" s="183">
        <v>424</v>
      </c>
      <c r="U17" s="183">
        <v>373</v>
      </c>
      <c r="V17" s="183">
        <v>268</v>
      </c>
      <c r="W17" s="183">
        <v>50</v>
      </c>
      <c r="X17" s="189">
        <v>164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217</v>
      </c>
      <c r="AZ17" s="129">
        <f t="shared" si="14"/>
        <v>424</v>
      </c>
      <c r="BA17" s="129">
        <f t="shared" si="14"/>
        <v>373</v>
      </c>
      <c r="BB17" s="129">
        <f t="shared" si="14"/>
        <v>268</v>
      </c>
      <c r="BC17" s="125">
        <f>IF(ISNUMBER(W17),W17," - ")</f>
        <v>50</v>
      </c>
      <c r="BD17" s="126">
        <f>IF(ISNUMBER(BA17/AZ17),BA17/AZ17," - ")</f>
        <v>0.87971698113207553</v>
      </c>
      <c r="BE17" s="127">
        <f>IF(ISNUMBER(BB17/BA17),BB17/BA17, " - ")</f>
        <v>0.71849865951742631</v>
      </c>
      <c r="BF17" s="127">
        <f>IF(ISNUMBER(BC17/BA17),BC17/BA17, " - ")</f>
        <v>0.13404825737265416</v>
      </c>
      <c r="BG17" s="196">
        <f>IF(ISNUMBER((AY17+AZ17)/BA17),(AY17+AZ17)/BA17," - ")</f>
        <v>1.7184986595174263</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3526</v>
      </c>
      <c r="J18" s="184">
        <f t="shared" si="15"/>
        <v>2271</v>
      </c>
      <c r="K18" s="184">
        <f t="shared" si="15"/>
        <v>2132</v>
      </c>
      <c r="L18" s="184">
        <f t="shared" si="15"/>
        <v>3713</v>
      </c>
      <c r="M18" s="184">
        <f t="shared" si="15"/>
        <v>382</v>
      </c>
      <c r="N18" s="184">
        <f t="shared" si="15"/>
        <v>1101</v>
      </c>
      <c r="O18" s="184">
        <f t="shared" si="15"/>
        <v>27</v>
      </c>
      <c r="P18" s="184">
        <f t="shared" si="15"/>
        <v>107</v>
      </c>
      <c r="Q18" s="184">
        <f t="shared" si="15"/>
        <v>120</v>
      </c>
      <c r="R18" s="184">
        <f t="shared" si="15"/>
        <v>355</v>
      </c>
      <c r="S18" s="184">
        <f t="shared" si="15"/>
        <v>2925</v>
      </c>
      <c r="T18" s="184">
        <f t="shared" si="15"/>
        <v>2594</v>
      </c>
      <c r="U18" s="184">
        <f t="shared" si="15"/>
        <v>2498</v>
      </c>
      <c r="V18" s="184">
        <f t="shared" si="15"/>
        <v>3058</v>
      </c>
      <c r="W18" s="184">
        <f t="shared" si="15"/>
        <v>385</v>
      </c>
      <c r="X18" s="184">
        <f t="shared" si="15"/>
        <v>1388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2925</v>
      </c>
      <c r="AZ18" s="184">
        <f>SUBTOTAL(9,AZ14:AZ17)</f>
        <v>2594</v>
      </c>
      <c r="BA18" s="184">
        <f>SUBTOTAL(9,BA14:BA17)</f>
        <v>2498</v>
      </c>
      <c r="BB18" s="184">
        <f>SUBTOTAL(9,BB14:BB17)</f>
        <v>3058</v>
      </c>
      <c r="BC18" s="184">
        <f>SUBTOTAL(9,BC14:BC17)</f>
        <v>385</v>
      </c>
      <c r="BD18" s="205">
        <f>IF(ISNUMBER(BA18/AZ18),BA18/AZ18," - ")</f>
        <v>0.96299151888974555</v>
      </c>
      <c r="BE18" s="206">
        <f>IF(ISNUMBER(BB18/BA18),BB18/BA18, " - ")</f>
        <v>1.2241793434747799</v>
      </c>
      <c r="BF18" s="206">
        <f>IF(ISNUMBER(BC18/BA18),BC18/BA18, " - ")</f>
        <v>0.15412329863891114</v>
      </c>
      <c r="BG18" s="207">
        <f>IF(ISNUMBER((AY18+AZ18)/BA18),(AY18+AZ18)/BA18," - ")</f>
        <v>2.2093674939951962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10205</v>
      </c>
      <c r="J19" s="134">
        <f t="shared" si="18"/>
        <v>6027</v>
      </c>
      <c r="K19" s="134">
        <f t="shared" si="18"/>
        <v>4477</v>
      </c>
      <c r="L19" s="134">
        <f t="shared" si="18"/>
        <v>11803</v>
      </c>
      <c r="M19" s="134">
        <f t="shared" si="18"/>
        <v>985</v>
      </c>
      <c r="N19" s="134">
        <f t="shared" si="18"/>
        <v>2039</v>
      </c>
      <c r="O19" s="134">
        <f t="shared" si="18"/>
        <v>1118</v>
      </c>
      <c r="P19" s="134">
        <f t="shared" si="18"/>
        <v>579</v>
      </c>
      <c r="Q19" s="134">
        <f t="shared" si="18"/>
        <v>636</v>
      </c>
      <c r="R19" s="134">
        <f t="shared" si="18"/>
        <v>7129</v>
      </c>
      <c r="S19" s="134">
        <f t="shared" si="18"/>
        <v>8247</v>
      </c>
      <c r="T19" s="134">
        <f t="shared" si="18"/>
        <v>4691</v>
      </c>
      <c r="U19" s="134">
        <f t="shared" si="18"/>
        <v>4709</v>
      </c>
      <c r="V19" s="134">
        <f t="shared" si="18"/>
        <v>8489</v>
      </c>
      <c r="W19" s="134">
        <f t="shared" si="18"/>
        <v>877</v>
      </c>
      <c r="X19" s="134">
        <f t="shared" si="18"/>
        <v>2340</v>
      </c>
      <c r="Y19" s="134">
        <f t="shared" si="18"/>
        <v>181</v>
      </c>
      <c r="Z19" s="134">
        <f t="shared" si="18"/>
        <v>116</v>
      </c>
      <c r="AA19" s="134">
        <f t="shared" si="18"/>
        <v>79</v>
      </c>
      <c r="AB19" s="134">
        <f t="shared" si="18"/>
        <v>218</v>
      </c>
      <c r="AC19" s="134">
        <f t="shared" si="18"/>
        <v>0</v>
      </c>
      <c r="AD19" s="134">
        <f t="shared" si="18"/>
        <v>1</v>
      </c>
      <c r="AE19" s="134">
        <f t="shared" si="18"/>
        <v>1</v>
      </c>
      <c r="AF19" s="134">
        <f t="shared" si="18"/>
        <v>0</v>
      </c>
      <c r="AG19" s="134">
        <f t="shared" si="18"/>
        <v>150</v>
      </c>
      <c r="AH19" s="134">
        <f t="shared" si="18"/>
        <v>87</v>
      </c>
      <c r="AI19" s="134">
        <f t="shared" si="18"/>
        <v>110</v>
      </c>
      <c r="AJ19" s="134">
        <f t="shared" si="18"/>
        <v>139</v>
      </c>
      <c r="AK19" s="134">
        <f t="shared" si="18"/>
        <v>0</v>
      </c>
      <c r="AL19" s="134">
        <f t="shared" si="18"/>
        <v>1</v>
      </c>
      <c r="AM19" s="134">
        <f t="shared" si="18"/>
        <v>1</v>
      </c>
      <c r="AN19" s="210">
        <f t="shared" si="18"/>
        <v>0</v>
      </c>
      <c r="AO19" s="211">
        <v>10</v>
      </c>
      <c r="AP19" s="211">
        <v>10</v>
      </c>
      <c r="AQ19" s="211">
        <v>10</v>
      </c>
      <c r="AR19" s="211">
        <v>10</v>
      </c>
      <c r="AS19" s="153">
        <f t="shared" si="18"/>
        <v>0</v>
      </c>
      <c r="AT19" s="153">
        <f t="shared" si="18"/>
        <v>0</v>
      </c>
      <c r="AU19" s="211"/>
      <c r="AV19" s="212"/>
      <c r="AW19" s="211"/>
      <c r="AX19" s="212"/>
      <c r="AY19" s="133">
        <f>SUBTOTAL(9,AY9:AY18)</f>
        <v>8397</v>
      </c>
      <c r="AZ19" s="134">
        <f>SUBTOTAL(9,AZ9:AZ18)</f>
        <v>4778</v>
      </c>
      <c r="BA19" s="134">
        <f>SUBTOTAL(9,BA9:BA18)</f>
        <v>4819</v>
      </c>
      <c r="BB19" s="134">
        <f>SUBTOTAL(9,BB9:BB18)</f>
        <v>8628</v>
      </c>
      <c r="BC19" s="135">
        <f>SUBTOTAL(9,BC9:BC18)</f>
        <v>1332</v>
      </c>
      <c r="BD19" s="213">
        <f>IF(ISNUMBER(BA19/AZ19),BA19/AZ19," - ")</f>
        <v>1.0085809962327335</v>
      </c>
      <c r="BE19" s="210">
        <f>IF(ISNUMBER(BB19/BA19),BB19/BA19, " - ")</f>
        <v>1.7904129487445528</v>
      </c>
      <c r="BF19" s="210">
        <f>IF(ISNUMBER(BC19/BA19),BC19/BA19, " - ")</f>
        <v>0.276405893338867</v>
      </c>
      <c r="BG19" s="135">
        <f>IF(ISNUMBER((AY19+AZ19)/BA19),(AY19+AZ19)/BA19," - ")</f>
        <v>2.7339697032579373</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tm04TF/qJ18j5SQIZPdB47LUMWuasuKjUPdMDN/EU9peUREGFsj+oN+A9t03OAD2bW1mFo8XMNetxue9wLM1g==" saltValue="cffkRDgBwYq5gzc1kpBIE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UCpK7g6kVQHCo2gxm/YYIepDrCgV8HZ1dsE5LyOQPca+TF3/8T7Xo1tMEotVymb8SJF+7jdLcnThLJdlol6gw==" saltValue="5Oe9z1ntAQ2nAepuxcpAS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116</v>
      </c>
      <c r="O9" s="334"/>
      <c r="P9" s="334"/>
      <c r="Q9" s="226">
        <f>IF(ISNUMBER(Datos!P9),Datos!P9,0)</f>
        <v>466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218</v>
      </c>
      <c r="AI9" s="334" t="str">
        <f>IF(ISNUMBER(Datos!CD9),Datos!CD9,"-")</f>
        <v>-</v>
      </c>
      <c r="AJ9" s="334" t="str">
        <f>IF(ISNUMBER(Datos!EN9),Datos!EN9," - ")</f>
        <v xml:space="preserve"> - </v>
      </c>
      <c r="AK9" s="334"/>
      <c r="AL9" s="479"/>
      <c r="AM9" s="335">
        <f>IF(ISNUMBER(Datos!R9),Datos!R9," - ")</f>
        <v>6697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586</v>
      </c>
      <c r="BD9" s="229">
        <f>IF(ISNUMBER(Datos!N9),Datos!N9," - ")</f>
        <v>930</v>
      </c>
      <c r="BE9" s="229" t="str">
        <f>IF(ISNUMBER(Datos!BW9),Datos!BW9," - ")</f>
        <v xml:space="preserve"> - </v>
      </c>
      <c r="BF9" s="228" t="str">
        <f>IF(ISNUMBER(Datos!BX9),Datos!BX9," - ")</f>
        <v xml:space="preserve"> - </v>
      </c>
      <c r="BG9" s="243">
        <f>IF(ISNUMBER(IF(J_V="SI",Datos!K9/Datos!J9,(Datos!K9+Datos!AA9)/(Datos!J9+Datos!Z9))),IF(J_V="SI",Datos!K9/Datos!J9,(Datos!K9+Datos!AA9)/(Datos!J9+Datos!Z9))," - ")</f>
        <v>0.62503259452411997</v>
      </c>
      <c r="BH9" s="260">
        <f>IF(ISNUMBER(((IF(J_V="SI",Datos!L9/Datos!K9,(Datos!L9+Datos!AB9)/(Datos!K9+Datos!AA9)))*11)/factor_trimestre),((IF(J_V="SI",Datos!L9/Datos!K9,(Datos!L9+Datos!AB9)/(Datos!K9+Datos!AA9)))*11)/factor_trimestre," - ")</f>
        <v>10.251564455569461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-7.4107010523195493E-3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106</v>
      </c>
      <c r="G10" s="333">
        <f>IF(ISNUMBER(Datos!I10),Datos!I10," - ")</f>
        <v>106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116</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17</v>
      </c>
      <c r="BD10" s="229">
        <f>IF(ISNUMBER(Datos!N10),Datos!N10," - ")</f>
        <v>8</v>
      </c>
      <c r="BE10" s="229" t="str">
        <f>IF(ISNUMBER(Datos!BW10),Datos!BW10," - ")</f>
        <v xml:space="preserve"> - </v>
      </c>
      <c r="BF10" s="228" t="str">
        <f>IF(ISNUMBER(Datos!BX10),Datos!BX10," - ")</f>
        <v xml:space="preserve"> - </v>
      </c>
      <c r="BG10" s="243">
        <f>IF(ISNUMBER(Datos!K10/Datos!J10),Datos!K10/Datos!J10," - ")</f>
        <v>0.72972972972972971</v>
      </c>
      <c r="BH10" s="260">
        <f>IF(ISNUMBER(((Datos!L10/Datos!K10)*11)/factor_trimestre),((Datos!L10/Datos!K10)*11)/factor_trimestre," - ")</f>
        <v>12.888888888888891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106</v>
      </c>
      <c r="G13" s="898">
        <f t="shared" si="0"/>
        <v>106</v>
      </c>
      <c r="H13" s="899">
        <f t="shared" si="0"/>
        <v>0</v>
      </c>
      <c r="I13" s="898">
        <f t="shared" si="0"/>
        <v>0</v>
      </c>
      <c r="J13" s="867">
        <f t="shared" si="0"/>
        <v>0</v>
      </c>
      <c r="K13" s="867">
        <f t="shared" si="0"/>
        <v>0</v>
      </c>
      <c r="L13" s="899">
        <f t="shared" si="0"/>
        <v>0</v>
      </c>
      <c r="M13" s="899">
        <f t="shared" si="0"/>
        <v>0</v>
      </c>
      <c r="N13" s="899">
        <f t="shared" si="0"/>
        <v>116</v>
      </c>
      <c r="O13" s="900">
        <f t="shared" si="0"/>
        <v>0</v>
      </c>
      <c r="P13" s="900">
        <f t="shared" si="0"/>
        <v>0</v>
      </c>
      <c r="Q13" s="899">
        <f t="shared" si="0"/>
        <v>472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516</v>
      </c>
      <c r="AD13" s="899">
        <f t="shared" si="1"/>
        <v>0</v>
      </c>
      <c r="AE13" s="899">
        <f t="shared" si="1"/>
        <v>0</v>
      </c>
      <c r="AF13" s="899">
        <f t="shared" si="1"/>
        <v>116</v>
      </c>
      <c r="AG13" s="899">
        <f t="shared" si="1"/>
        <v>0</v>
      </c>
      <c r="AH13" s="899">
        <f t="shared" si="1"/>
        <v>218</v>
      </c>
      <c r="AI13" s="899">
        <f t="shared" si="1"/>
        <v>0</v>
      </c>
      <c r="AJ13" s="899">
        <f t="shared" si="1"/>
        <v>0</v>
      </c>
      <c r="AK13" s="899">
        <f t="shared" si="1"/>
        <v>0</v>
      </c>
      <c r="AL13" s="899">
        <f t="shared" si="1"/>
        <v>0</v>
      </c>
      <c r="AM13" s="899">
        <f t="shared" si="1"/>
        <v>6774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603</v>
      </c>
      <c r="BD13" s="899">
        <f t="shared" si="1"/>
        <v>938</v>
      </c>
      <c r="BE13" s="899">
        <f t="shared" si="1"/>
        <v>0</v>
      </c>
      <c r="BF13" s="899">
        <f t="shared" si="1"/>
        <v>0</v>
      </c>
      <c r="BG13" s="899">
        <f>IF(ISNUMBER(Datos!K13/Datos!J13),Datos!K13/Datos!J13," - ")</f>
        <v>0.62433439829605963</v>
      </c>
      <c r="BH13" s="903">
        <f>IF(ISNUMBER(((Datos!L13/Datos!K13)*11)/factor_trimestre),((Datos!L13/Datos!K13)*11)/factor_trimestre," - ")</f>
        <v>10.349680170575695</v>
      </c>
      <c r="BI13" s="899">
        <f>IF(ISNUMBER('Resol  Asuntos'!D13/NºAsuntos!G13),'Resol  Asuntos'!D13/NºAsuntos!G13," - ")</f>
        <v>0.24876237623762376</v>
      </c>
      <c r="BJ13" s="899" t="str">
        <f>IF(ISNUMBER(Datos!CI13/Datos!CJ13),Datos!CI13/Datos!CJ13," - ")</f>
        <v xml:space="preserve"> - </v>
      </c>
      <c r="BK13" s="899">
        <f>SUBTOTAL(9,BK8:BK12)</f>
        <v>0</v>
      </c>
      <c r="BL13" s="899">
        <f>IF(ISNUMBER((I13-AB13+L13)/(F13)),(I13-AB13+L13)/(F13)," - ")</f>
        <v>-0.25471698113207547</v>
      </c>
      <c r="BM13" s="904">
        <f>SUBTOTAL(9,BM9:BM12)</f>
        <v>0.14258929894768044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3240</v>
      </c>
      <c r="G15" s="598">
        <f>IF(ISNUMBER(IF(D_I="SI",Datos!I15,Datos!I15+Datos!AC15)),IF(D_I="SI",Datos!I15,Datos!I15+Datos!AC15)," - ")</f>
        <v>3192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1743</v>
      </c>
      <c r="AC15" s="226">
        <f>IF(ISNUMBER(Datos!Q15),Datos!Q15," - ")</f>
        <v>119</v>
      </c>
      <c r="AD15" s="334"/>
      <c r="AE15" s="484"/>
      <c r="AF15" s="596">
        <f>IF(ISNUMBER(IF(D_I="SI",Datos!L15,Datos!L15+Datos!AF15)),IF(D_I="SI",Datos!L15,Datos!L15+Datos!AF15)," - ")</f>
        <v>3360</v>
      </c>
      <c r="AG15" s="334"/>
      <c r="AH15" s="334"/>
      <c r="AI15" s="334"/>
      <c r="AJ15" s="334"/>
      <c r="AK15" s="334"/>
      <c r="AL15" s="479"/>
      <c r="AM15" s="335">
        <f>IF(ISNUMBER(Datos!R15),Datos!R15," - ")</f>
        <v>345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329</v>
      </c>
      <c r="BD15" s="229">
        <f>IF(ISNUMBER(Datos!N15),Datos!N15," - ")</f>
        <v>923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0.93558776167471824</v>
      </c>
      <c r="BH15" s="260">
        <f>IF(ISNUMBER(((IF(D_I="SI",Datos!L15/Datos!K15,(Datos!L15+Datos!AF15)/(Datos!K15+Datos!AE15)))*11)/factor_trimestre),((IF(D_I="SI",Datos!L15/Datos!K15,(Datos!L15+Datos!AF15)/(Datos!K15+Datos!AE15)))*11)/factor_trimestre," - ")</f>
        <v>5.7831325301204828</v>
      </c>
      <c r="BI15" s="243">
        <f>IF(ISNUMBER('Resol  Asuntos'!D15/NºAsuntos!G15),'Resol  Asuntos'!D15/NºAsuntos!G15," - ")</f>
        <v>0.18875502008032127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389</v>
      </c>
      <c r="AC17" s="226">
        <f>IF(ISNUMBER(Datos!Q17),Datos!Q17," - ")</f>
        <v>1</v>
      </c>
      <c r="AD17" s="334"/>
      <c r="AE17" s="484"/>
      <c r="AF17" s="332">
        <f>IF(ISNUMBER(Datos!L17),Datos!L17,"-")</f>
        <v>351</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53</v>
      </c>
      <c r="BD17" s="229">
        <f>IF(ISNUMBER(Datos!N17),Datos!N17," - ")</f>
        <v>178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0.95343137254901966</v>
      </c>
      <c r="BH17" s="260">
        <f>IF(ISNUMBER(((IF(D_I="SI",Datos!L17/Datos!K17,(Datos!L17+Datos!AF17)/(Datos!K17+Datos!AE17)))*11)/factor_trimestre),((IF(D_I="SI",Datos!L17/Datos!K17,(Datos!L17+Datos!AF17)/(Datos!K17+Datos!AE17)))*11)/factor_trimestre," - ")</f>
        <v>2.7069408740359902</v>
      </c>
      <c r="BI17" s="243">
        <f>IF(ISNUMBER('Resol  Asuntos'!D17/NºAsuntos!G17),'Resol  Asuntos'!D17/NºAsuntos!G17," - ")</f>
        <v>0.13624678663239073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3242</v>
      </c>
      <c r="G18" s="898">
        <f>SUBTOTAL(9,G15:G17)</f>
        <v>3526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2132</v>
      </c>
      <c r="AC18" s="899">
        <f t="shared" si="4"/>
        <v>120</v>
      </c>
      <c r="AD18" s="899">
        <f t="shared" si="4"/>
        <v>0</v>
      </c>
      <c r="AE18" s="899">
        <f t="shared" si="4"/>
        <v>0</v>
      </c>
      <c r="AF18" s="899">
        <f t="shared" si="4"/>
        <v>3713</v>
      </c>
      <c r="AG18" s="899">
        <f t="shared" si="4"/>
        <v>0</v>
      </c>
      <c r="AH18" s="899">
        <f t="shared" si="4"/>
        <v>0</v>
      </c>
      <c r="AI18" s="899">
        <f t="shared" si="4"/>
        <v>0</v>
      </c>
      <c r="AJ18" s="899">
        <f t="shared" si="4"/>
        <v>0</v>
      </c>
      <c r="AK18" s="899">
        <f t="shared" si="4"/>
        <v>0</v>
      </c>
      <c r="AL18" s="899">
        <f t="shared" si="4"/>
        <v>0</v>
      </c>
      <c r="AM18" s="899">
        <f t="shared" si="4"/>
        <v>355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382</v>
      </c>
      <c r="BD18" s="899">
        <f t="shared" si="4"/>
        <v>1101</v>
      </c>
      <c r="BE18" s="899">
        <f t="shared" si="4"/>
        <v>0</v>
      </c>
      <c r="BF18" s="899">
        <f t="shared" si="4"/>
        <v>0</v>
      </c>
      <c r="BG18" s="899">
        <f>IF(ISNUMBER(Datos!K18/Datos!J18),Datos!K18/Datos!J18," - ")</f>
        <v>0.93879348304711585</v>
      </c>
      <c r="BH18" s="903">
        <f>IF(ISNUMBER(((Datos!L18/Datos!K18)*11)/factor_trimestre),((Datos!L18/Datos!K18)*11)/factor_trimestre," - ")</f>
        <v>5.2246716697936222</v>
      </c>
      <c r="BI18" s="899">
        <f>SUBTOTAL(9,BI15:BI17)</f>
        <v>0.325001806712712</v>
      </c>
      <c r="BJ18" s="899">
        <f>SUBTOTAL(9,BJ15:BJ17)</f>
        <v>0</v>
      </c>
      <c r="BK18" s="899">
        <f>SUBTOTAL(9,BK15:BK17)</f>
        <v>0</v>
      </c>
      <c r="BL18" s="899">
        <f>IF(ISNUMBER((I18-AB18+L18)/(F18)),(I18-AB18+L18)/(F18)," - ")</f>
        <v>-0.65761875385564461</v>
      </c>
      <c r="BM18" s="905">
        <f>IF(ISNUMBER((Datos!P18-Datos!Q18)/(Datos!R18-Datos!P18+Datos!Q18)),(Datos!P18-Datos!Q18)/(Datos!R18-Datos!P18+Datos!Q18)," - ")</f>
        <v>-3.5326086956521736E-2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3348</v>
      </c>
      <c r="G19" s="820">
        <f t="shared" si="6"/>
        <v>3632</v>
      </c>
      <c r="H19" s="822">
        <f t="shared" si="6"/>
        <v>0</v>
      </c>
      <c r="I19" s="820">
        <f t="shared" si="6"/>
        <v>0</v>
      </c>
      <c r="J19" s="822">
        <f t="shared" si="6"/>
        <v>0</v>
      </c>
      <c r="K19" s="822">
        <f t="shared" si="6"/>
        <v>0</v>
      </c>
      <c r="L19" s="881">
        <f t="shared" si="6"/>
        <v>0</v>
      </c>
      <c r="M19" s="881">
        <f t="shared" si="6"/>
        <v>0</v>
      </c>
      <c r="N19" s="881">
        <f t="shared" si="6"/>
        <v>116</v>
      </c>
      <c r="O19" s="881">
        <f t="shared" si="6"/>
        <v>0</v>
      </c>
      <c r="P19" s="881">
        <f t="shared" si="6"/>
        <v>0</v>
      </c>
      <c r="Q19" s="822">
        <f t="shared" si="6"/>
        <v>579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2159</v>
      </c>
      <c r="AC19" s="821">
        <f t="shared" si="7"/>
        <v>636</v>
      </c>
      <c r="AD19" s="821">
        <f t="shared" si="7"/>
        <v>0</v>
      </c>
      <c r="AE19" s="821">
        <f t="shared" si="7"/>
        <v>0</v>
      </c>
      <c r="AF19" s="828">
        <f t="shared" si="7"/>
        <v>3829</v>
      </c>
      <c r="AG19" s="828">
        <f t="shared" si="7"/>
        <v>0</v>
      </c>
      <c r="AH19" s="828">
        <f t="shared" si="7"/>
        <v>218</v>
      </c>
      <c r="AI19" s="828">
        <f t="shared" si="7"/>
        <v>0</v>
      </c>
      <c r="AJ19" s="821">
        <f t="shared" si="7"/>
        <v>0</v>
      </c>
      <c r="AK19" s="828">
        <f t="shared" si="7"/>
        <v>0</v>
      </c>
      <c r="AL19" s="828">
        <f t="shared" si="7"/>
        <v>0</v>
      </c>
      <c r="AM19" s="828">
        <f t="shared" si="7"/>
        <v>7129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985</v>
      </c>
      <c r="BD19" s="820">
        <f t="shared" si="7"/>
        <v>2039</v>
      </c>
      <c r="BE19" s="820">
        <f t="shared" si="7"/>
        <v>0</v>
      </c>
      <c r="BF19" s="830">
        <f t="shared" si="7"/>
        <v>0</v>
      </c>
      <c r="BG19" s="915">
        <f>IF(ISNUMBER(Datos!K19/Datos!J19),Datos!K19/Datos!J19," - ")</f>
        <v>0.74282395885183339</v>
      </c>
      <c r="BH19" s="915">
        <f>IF(ISNUMBER(((Datos!L19/Datos!K19)*11)/factor_trimestre),((Datos!L19/Datos!K19)*11)/factor_trimestre," - ")</f>
        <v>7.9090909090909092</v>
      </c>
      <c r="BI19" s="813">
        <f>IF(ISNUMBER(Datos!J19/Datos!I19),Datos!J19/Datos!I19," - ")</f>
        <v>0.59059284664380207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-0.64486260454002386</v>
      </c>
      <c r="BM19" s="889">
        <f>IF(ISNUMBER((Datos!P19-Datos!Q19+R19)/(Datos!R19-Datos!P19+Datos!Q19-R19)),(Datos!P19-Datos!Q19+R19)/(Datos!R19-Datos!P19+Datos!Q19-R19)," - ")</f>
        <v>-7.9320901753409407E-3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1210.6666666666667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1736.617171399615</v>
      </c>
      <c r="G21" s="552">
        <f>IF(ISNUMBER(STDEV(G8:G18)),STDEV(G8:G18),"-")</f>
        <v>1670.9253324630238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962.15709043101003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261.63101061282032</v>
      </c>
      <c r="BD21" s="551"/>
      <c r="BE21" s="551">
        <f>IF(ISNUMBER(STDEV(BE8:BE18)),STDEV(BE8:BE18),"-")</f>
        <v>0</v>
      </c>
      <c r="BF21" s="556">
        <f>IF(ISNUMBER(STDEV(BF8:BF18)),STDEV(BF8:BF18),"-")</f>
        <v>0</v>
      </c>
      <c r="BG21" s="775">
        <f>IF(ISNUMBER(STDEV(BG8:BG18)),STDEV(BG8:BG18),"-")</f>
        <v>0.1597440509836193</v>
      </c>
      <c r="BH21" s="776">
        <f>IF(ISNUMBER(STDEV(BH8:BH18)),STDEV(BH8:BH18),"-")</f>
        <v>3.8734952671589173</v>
      </c>
      <c r="BI21" s="249">
        <f>IF(ISNUMBER(STDEV(BI8:BI18)),STDEV(BI8:BI18),"-")</f>
        <v>8.1148963080952499E-2</v>
      </c>
      <c r="BJ21" s="230" t="str">
        <f>IF(ISNUMBER(BL21/BM21),BL21/BM21," - ")</f>
        <v xml:space="preserve"> - </v>
      </c>
      <c r="BK21" s="575"/>
      <c r="BL21" s="559">
        <f>IF(ISNUMBER(STDEV(BL8:BL18)),STDEV(BL8:BL18),"-")</f>
        <v>0.28489457564491683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iGizA3LJiCtwKn78LmxmAa1UGOpfcveEJi4jZAN0UApDXrcAIvGZInmL5zQAI9PVU4lfFrM5ewKpbKTNYTTag==" saltValue="DVHIa+SFVqO8ZaxRQKkNm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BENIDORM</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516</v>
      </c>
      <c r="AA9" s="332" t="str">
        <f>IF(ISNUMBER(IF(J_V="SI",Datos!L9,Datos!L9+Datos!AB9)-IF(Monitorios="SI",Datos!CD9,0)),
                          IF(J_V="SI",Datos!L9,Datos!L9+Datos!AB9)-IF(Monitorios="SI",Datos!CD9,0),
                          " - ")</f>
        <v xml:space="preserve"> - </v>
      </c>
      <c r="AB9" s="334"/>
      <c r="AC9" s="334"/>
      <c r="AD9" s="484"/>
      <c r="AE9" s="484">
        <f>IF(ISNUMBER(Datos!R9),Datos!R9," - ")</f>
        <v>6697</v>
      </c>
      <c r="AF9" s="229" t="str">
        <f>IF(ISNUMBER(Datos!BV9),Datos!BV9," - ")</f>
        <v xml:space="preserve"> - </v>
      </c>
      <c r="AG9" s="225" t="str">
        <f>IF(ISNUMBER(Datos!DV9),Datos!DV9," - ")</f>
        <v xml:space="preserve"> - </v>
      </c>
      <c r="AH9" s="298"/>
      <c r="AI9" s="227"/>
      <c r="AJ9" s="225">
        <f>IF(ISNUMBER(Datos!M9),Datos!M9," - ")</f>
        <v>586</v>
      </c>
      <c r="AK9" s="229">
        <f>IF(ISNUMBER(Datos!N9),Datos!N9," - ")</f>
        <v>930</v>
      </c>
      <c r="AL9" s="229" t="str">
        <f>IF(ISNUMBER(Datos!BW9),Datos!BW9," - ")</f>
        <v xml:space="preserve"> - </v>
      </c>
      <c r="AM9" s="228" t="str">
        <f>IF(ISNUMBER(Datos!BX9),Datos!BX9," - ")</f>
        <v xml:space="preserve"> - </v>
      </c>
      <c r="AN9" s="243"/>
      <c r="AO9" s="260">
        <f>IF(ISNUMBER(((NºAsuntos!I9/NºAsuntos!G9)*11)/factor_trimestre),((NºAsuntos!I9/NºAsuntos!G9)*11)/factor_trimestre," - ")</f>
        <v>10.251564455569461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-7.4107010523195493E-3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106</v>
      </c>
      <c r="G10" s="225">
        <f>IF(ISNUMBER(Datos!I10),Datos!I10," - ")</f>
        <v>106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116</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17</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12.888888888888891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31</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106</v>
      </c>
      <c r="G13" s="898">
        <f>SUBTOTAL(9,G8:G12)</f>
        <v>106</v>
      </c>
      <c r="H13" s="908"/>
      <c r="I13" s="898">
        <f t="shared" ref="I13:N13" si="0">SUBTOTAL(9,I8:I12)</f>
        <v>0</v>
      </c>
      <c r="J13" s="867">
        <f t="shared" si="0"/>
        <v>0</v>
      </c>
      <c r="K13" s="908">
        <f t="shared" si="0"/>
        <v>0</v>
      </c>
      <c r="L13" s="908">
        <f t="shared" si="0"/>
        <v>0</v>
      </c>
      <c r="M13" s="908">
        <f t="shared" si="0"/>
        <v>0</v>
      </c>
      <c r="N13" s="908">
        <f t="shared" si="0"/>
        <v>472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516</v>
      </c>
      <c r="AA13" s="900">
        <f t="shared" si="2"/>
        <v>116</v>
      </c>
      <c r="AB13" s="900">
        <f t="shared" si="2"/>
        <v>0</v>
      </c>
      <c r="AC13" s="900">
        <f t="shared" si="2"/>
        <v>0</v>
      </c>
      <c r="AD13" s="900">
        <f t="shared" si="2"/>
        <v>0</v>
      </c>
      <c r="AE13" s="900">
        <f t="shared" si="2"/>
        <v>6774</v>
      </c>
      <c r="AF13" s="908">
        <f t="shared" si="2"/>
        <v>0</v>
      </c>
      <c r="AG13" s="908">
        <f t="shared" si="2"/>
        <v>0</v>
      </c>
      <c r="AH13" s="908">
        <f t="shared" si="2"/>
        <v>0</v>
      </c>
      <c r="AI13" s="908">
        <f t="shared" si="2"/>
        <v>0</v>
      </c>
      <c r="AJ13" s="908">
        <f t="shared" si="2"/>
        <v>603</v>
      </c>
      <c r="AK13" s="908">
        <f t="shared" si="2"/>
        <v>938</v>
      </c>
      <c r="AL13" s="908">
        <f t="shared" si="2"/>
        <v>0</v>
      </c>
      <c r="AM13" s="908">
        <f t="shared" si="2"/>
        <v>0</v>
      </c>
      <c r="AN13" s="908">
        <f t="shared" si="2"/>
        <v>0</v>
      </c>
      <c r="AO13" s="904">
        <f>IF(ISNUMBER(((NºAsuntos!I13/NºAsuntos!G13)*11)/factor_trimestre),((NºAsuntos!I13/NºAsuntos!G13)*11)/factor_trimestre," - ")</f>
        <v>10.282178217821782</v>
      </c>
      <c r="AP13" s="910" t="str">
        <f>IF(ISNUMBER(Datos!CI13/Datos!CJ13),Datos!CI13/Datos!CJ13," - ")</f>
        <v xml:space="preserve"> - </v>
      </c>
      <c r="AQ13" s="928">
        <f t="shared" ref="AQ13:AV13" si="3">SUBTOTAL(9,AQ9:AQ12)</f>
        <v>0</v>
      </c>
      <c r="AR13" s="928">
        <f t="shared" si="3"/>
        <v>0.14258929894768044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3240</v>
      </c>
      <c r="G15" s="225">
        <f>IF(ISNUMBER(IF(D_I="SI",Datos!I15,Datos!I15+Datos!AC15)),IF(D_I="SI",Datos!I15,Datos!I15+Datos!AC15)," - ")</f>
        <v>3192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1743</v>
      </c>
      <c r="Z15" s="619">
        <f>IF(ISNUMBER(Datos!Q15),Datos!Q15," - ")</f>
        <v>119</v>
      </c>
      <c r="AA15" s="332">
        <f>IF(ISNUMBER(IF(D_I="SI",Datos!L15,Datos!L15+Datos!AF15)),IF(D_I="SI",Datos!L15,Datos!L15+Datos!AF15)," - ")</f>
        <v>3360</v>
      </c>
      <c r="AB15" s="334"/>
      <c r="AC15" s="334"/>
      <c r="AD15" s="484"/>
      <c r="AE15" s="484">
        <f>IF(ISNUMBER(Datos!R15),Datos!R15," - ")</f>
        <v>345</v>
      </c>
      <c r="AF15" s="229" t="str">
        <f>IF(ISNUMBER(Datos!BV15),Datos!BV15," - ")</f>
        <v xml:space="preserve"> - </v>
      </c>
      <c r="AG15" s="225"/>
      <c r="AH15" s="298"/>
      <c r="AI15" s="227"/>
      <c r="AJ15" s="225">
        <f>IF(ISNUMBER(Datos!M15),Datos!M15," - ")</f>
        <v>329</v>
      </c>
      <c r="AK15" s="229">
        <f>IF(ISNUMBER(Datos!N15),Datos!N15," - ")</f>
        <v>923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5.7831325301204828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389</v>
      </c>
      <c r="Z17" s="619">
        <f>IF(ISNUMBER(Datos!Q17),Datos!Q17," - ")</f>
        <v>1</v>
      </c>
      <c r="AA17" s="332">
        <f>IF(ISNUMBER(Datos!L17),Datos!L17,"-")</f>
        <v>351</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53</v>
      </c>
      <c r="AK17" s="229">
        <f>IF(ISNUMBER(Datos!N17),Datos!N17," - ")</f>
        <v>178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2.7069408740359902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3242</v>
      </c>
      <c r="G18" s="898">
        <f>SUBTOTAL(9,G15:G17)</f>
        <v>3526</v>
      </c>
      <c r="H18" s="932">
        <f>SUBTOTAL(9,H15:H17)</f>
        <v>0</v>
      </c>
      <c r="I18" s="911">
        <f>SUBTOTAL(9,I15:I17)</f>
        <v>0</v>
      </c>
      <c r="J18" s="867">
        <f>SUBTOTAL(9,J14:J17)</f>
        <v>0</v>
      </c>
      <c r="K18" s="932">
        <f t="shared" ref="K18:S18" si="4">SUBTOTAL(9,K15:K17)</f>
        <v>0</v>
      </c>
      <c r="L18" s="932">
        <f t="shared" si="4"/>
        <v>0</v>
      </c>
      <c r="M18" s="932">
        <f t="shared" si="4"/>
        <v>0</v>
      </c>
      <c r="N18" s="932">
        <f t="shared" si="4"/>
        <v>107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2132</v>
      </c>
      <c r="Z18" s="932">
        <f t="shared" si="5"/>
        <v>120</v>
      </c>
      <c r="AA18" s="932">
        <f t="shared" si="5"/>
        <v>3713</v>
      </c>
      <c r="AB18" s="932">
        <f t="shared" si="5"/>
        <v>0</v>
      </c>
      <c r="AC18" s="932">
        <f t="shared" si="5"/>
        <v>0</v>
      </c>
      <c r="AD18" s="932">
        <f t="shared" si="5"/>
        <v>0</v>
      </c>
      <c r="AE18" s="932">
        <f t="shared" si="5"/>
        <v>355</v>
      </c>
      <c r="AF18" s="932">
        <f t="shared" si="5"/>
        <v>0</v>
      </c>
      <c r="AG18" s="932">
        <f t="shared" si="5"/>
        <v>0</v>
      </c>
      <c r="AH18" s="932">
        <f t="shared" si="5"/>
        <v>0</v>
      </c>
      <c r="AI18" s="932">
        <f t="shared" si="5"/>
        <v>0</v>
      </c>
      <c r="AJ18" s="932">
        <f t="shared" si="5"/>
        <v>382</v>
      </c>
      <c r="AK18" s="932">
        <f t="shared" si="5"/>
        <v>1101</v>
      </c>
      <c r="AL18" s="932">
        <f t="shared" si="5"/>
        <v>0</v>
      </c>
      <c r="AM18" s="932">
        <f t="shared" si="5"/>
        <v>0</v>
      </c>
      <c r="AN18" s="932">
        <f t="shared" si="5"/>
        <v>0</v>
      </c>
      <c r="AO18" s="934">
        <f>IF(ISNUMBER(((NºAsuntos!I18/NºAsuntos!G18)*11)/factor_trimestre),((NºAsuntos!I18/NºAsuntos!G18)*11)/factor_trimestre," - ")</f>
        <v>5.2246716697936222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3348</v>
      </c>
      <c r="G19" s="820">
        <f t="shared" si="7"/>
        <v>3632</v>
      </c>
      <c r="H19" s="821">
        <f t="shared" si="7"/>
        <v>0</v>
      </c>
      <c r="I19" s="820">
        <f t="shared" si="7"/>
        <v>0</v>
      </c>
      <c r="J19" s="822">
        <f t="shared" si="7"/>
        <v>0</v>
      </c>
      <c r="K19" s="820">
        <f t="shared" si="7"/>
        <v>0</v>
      </c>
      <c r="L19" s="823">
        <f t="shared" si="7"/>
        <v>0</v>
      </c>
      <c r="M19" s="820">
        <f t="shared" si="7"/>
        <v>0</v>
      </c>
      <c r="N19" s="821">
        <f t="shared" si="7"/>
        <v>579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2159</v>
      </c>
      <c r="Z19" s="827">
        <f t="shared" si="8"/>
        <v>636</v>
      </c>
      <c r="AA19" s="828">
        <f t="shared" si="8"/>
        <v>3829</v>
      </c>
      <c r="AB19" s="828">
        <f t="shared" si="8"/>
        <v>0</v>
      </c>
      <c r="AC19" s="828">
        <f t="shared" si="8"/>
        <v>0</v>
      </c>
      <c r="AD19" s="829">
        <f t="shared" si="8"/>
        <v>0</v>
      </c>
      <c r="AE19" s="829">
        <f t="shared" si="8"/>
        <v>7129</v>
      </c>
      <c r="AF19" s="830">
        <f t="shared" si="8"/>
        <v>0</v>
      </c>
      <c r="AG19" s="831">
        <f t="shared" si="8"/>
        <v>0</v>
      </c>
      <c r="AH19" s="832">
        <f t="shared" si="8"/>
        <v>0</v>
      </c>
      <c r="AI19" s="830">
        <f t="shared" si="8"/>
        <v>0</v>
      </c>
      <c r="AJ19" s="820">
        <f t="shared" si="8"/>
        <v>985</v>
      </c>
      <c r="AK19" s="820">
        <f t="shared" si="8"/>
        <v>2039</v>
      </c>
      <c r="AL19" s="820">
        <f t="shared" si="8"/>
        <v>0</v>
      </c>
      <c r="AM19" s="833">
        <f t="shared" si="8"/>
        <v>0</v>
      </c>
      <c r="AN19" s="823">
        <f>IF(ISNUMBER(Datos!K19/Datos!J19),Datos!K19/Datos!J19," - ")</f>
        <v>0.74282395885183339</v>
      </c>
      <c r="AO19" s="823">
        <f>IF(ISNUMBER(FIND("06",Criterios!A8,1)),(IF(ISNUMBER(((Datos!R19/Datos!Q19)*11)/factor_trimestre),((Datos!R19/Datos!Q19)*11)/factor_trimestre," - ")),(IF(ISNUMBER(((Datos!L19/Datos!K19)*11)/factor_trimestre),((Datos!L19/Datos!K19)*11)/factor_trimestre," - ")))</f>
        <v>7.9090909090909092</v>
      </c>
      <c r="AP19" s="834" t="str">
        <f>IF(ISNUMBER(Datos!CI19/Datos!CJ19),Datos!CI19/Datos!CJ19," - ")</f>
        <v xml:space="preserve"> - </v>
      </c>
      <c r="AQ19" s="834">
        <f>IF(OR(ISNUMBER(FIND("01",Criterios!A8,1)),ISNUMBER(FIND("02",Criterios!A8,1)),ISNUMBER(FIND("03",Criterios!A8,1)),ISNUMBER(FIND("04",Criterios!A8,1))),(J19-Y19+K19)/(F19-K19),(I19-Y19+K19)/(F19-K19))</f>
        <v>-0.64486260454002386</v>
      </c>
      <c r="AR19" s="834">
        <f>IF(ISNUMBER((Datos!P19-Datos!Q19+O19)/(Datos!R19-Datos!P19+Datos!Q19-O19)),(Datos!P19-Datos!Q19+O19)/(Datos!R19-Datos!P19+Datos!Q19-O19)," - ")</f>
        <v>-7.9320901753409407E-3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1210.6666666666667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1736.617171399615</v>
      </c>
      <c r="G21" s="552">
        <f>IF(ISNUMBER(STDEV(G8:G18)),STDEV(G8:G18),"-")</f>
        <v>1670.9253324630238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261.63101061282032</v>
      </c>
      <c r="AK21" s="252"/>
      <c r="AL21" s="252">
        <f>IF(ISNUMBER(STDEV(AL8:AL18)),STDEV(AL8:AL18),"-")</f>
        <v>0</v>
      </c>
      <c r="AM21" s="254">
        <f>IF(ISNUMBER(STDEV(AM8:AM18)),STDEV(AM8:AM18),"-")</f>
        <v>0</v>
      </c>
      <c r="AN21" s="539">
        <f>IF(ISNUMBER(STDEV(AN8:AN18)),STDEV(AN8:AN18),"-")</f>
        <v>0</v>
      </c>
      <c r="AO21" s="540">
        <f>IF(ISNUMBER(STDEV(AO8:AO18)),STDEV(AO8:AO18),"-")</f>
        <v>3.8649325548881701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eaORmFr/x5o90I9GDsUggOYjfggufYVyYqBBCzvZ87CfRnaLqge5rc90KUwh5KafS5Pq8rjGoCi1gKCcWd8Pw==" saltValue="fAAoDCxA2xIDDw6+PHJc8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2CNosuvSoBWwduQVwTkMrhmElg8aWze3IxgBx09ZiZCfm1nOnFvRVeHNW4BVqUhF087lDX4yR/X0F9xGDli8A==" saltValue="TfE44V7FEdFAxcvel1tI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JJhSXXTFedFL98y7hoywpQOS1G/BMkgTc7Tjtsm5zkB1MvdYTmZQ6vok8bnVBzD9YYMbrL/z/OH5DzvzLaHyg==" saltValue="RbKNzgfkXwQODDT1i4AKL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0.24876237623762376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0.17590156314170302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DAPOG7ztIku46DKsqCVpUj2l0aq+mt7Fs1zWOZeIPihSnlVpKpXVOHoPlorVe3TGpFBHWpqjCc1Na+Kcg6oDMQ==" saltValue="DKcUsG57SKD95KXgQqyYk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jhXZMKNWg0ldxeZXn0MxO1xymczQi2DjhOH+ul/AU+YH7NrTUFRSnCy2XW4hTs0CCnd0J455ALiBpFRi1iWsg==" saltValue="nUVDw6CBhltd4WACuLI+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BENIDORM</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6753</v>
      </c>
      <c r="D9" s="404">
        <f>IF(ISNUMBER(C9/Datos!BH9),C9/Datos!BH9," - ")</f>
        <v>1350.6</v>
      </c>
      <c r="E9" s="403">
        <f>IF(ISNUMBER(IF(J_V="SI",Datos!J9,Datos!J9+Datos!Z9)),IF(J_V="SI",Datos!J9,Datos!J9+Datos!Z9)," - ")</f>
        <v>3835</v>
      </c>
      <c r="F9" s="404">
        <f>IF(ISNUMBER(E9/B9),E9/B9," - ")</f>
        <v>767</v>
      </c>
      <c r="G9" s="403">
        <f>IF(ISNUMBER(IF(J_V="SI",Datos!K9,Datos!K9+Datos!AA9)),IF(J_V="SI",Datos!K9,Datos!K9+Datos!AA9)," - ")</f>
        <v>2397</v>
      </c>
      <c r="H9" s="404">
        <f>IF(ISNUMBER(G9/B9),G9/B9," - ")</f>
        <v>479.4</v>
      </c>
      <c r="I9" s="403">
        <f>IF(ISNUMBER(IF(J_V="SI",Datos!L9,Datos!L9+Datos!AB9)),IF(J_V="SI",Datos!L9,Datos!L9+Datos!AB9)," - ")</f>
        <v>8191</v>
      </c>
      <c r="J9" s="404">
        <f>IF(ISNUMBER(I9/B9),I9/B9," - ")</f>
        <v>1638.2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106</v>
      </c>
      <c r="D10" s="404">
        <f>IF(ISNUMBER(C10/Datos!BH10),C10/Datos!BH10," - ")</f>
        <v>106</v>
      </c>
      <c r="E10" s="403">
        <f>IF(ISNUMBER(Datos!J10),Datos!J10," - ")</f>
        <v>37</v>
      </c>
      <c r="F10" s="404">
        <f>IF(ISNUMBER(E10/B10),E10/B10," - ")</f>
        <v>37</v>
      </c>
      <c r="G10" s="403">
        <f>IF(ISNUMBER(Datos!K10),Datos!K10," - ")</f>
        <v>27</v>
      </c>
      <c r="H10" s="404">
        <f>IF(ISNUMBER(G10/B10),G10/B10," - ")</f>
        <v>27</v>
      </c>
      <c r="I10" s="403">
        <f>IF(ISNUMBER(Datos!L10),Datos!L10," - ")</f>
        <v>116</v>
      </c>
      <c r="J10" s="404">
        <f>IF(ISNUMBER(I10/B10),I10/B10," - ")</f>
        <v>116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6860</v>
      </c>
      <c r="D13" s="850" t="str">
        <f>IF(ISNUMBER(C13/Datos!BI13),C13/Datos!BI13," - ")</f>
        <v xml:space="preserve"> - </v>
      </c>
      <c r="E13" s="849">
        <f>SUBTOTAL(9,E8:E12)</f>
        <v>3872</v>
      </c>
      <c r="F13" s="850">
        <f>IF(ISNUMBER(E13/B13),E13/B13," - ")</f>
        <v>645.33333333333337</v>
      </c>
      <c r="G13" s="849">
        <f>SUBTOTAL(9,G8:G12)</f>
        <v>2424</v>
      </c>
      <c r="H13" s="850">
        <f>IF(ISNUMBER(G13/B13),G13/B13," - ")</f>
        <v>404</v>
      </c>
      <c r="I13" s="849">
        <f>SUBTOTAL(9,I8:I12)</f>
        <v>8308</v>
      </c>
      <c r="J13" s="850">
        <f>IF(ISNUMBER(I13/B13),I13/B13," - ")</f>
        <v>1384.6666666666667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3192</v>
      </c>
      <c r="D15" s="404">
        <f>IF(ISNUMBER(C15/Datos!BH15),C15/Datos!BH15," - ")</f>
        <v>798</v>
      </c>
      <c r="E15" s="403">
        <f>IF(ISNUMBER(IF(D_I="SI",Datos!J15,Datos!J15+Datos!AD15)),IF(D_I="SI",Datos!J15,Datos!J15+Datos!AD15)," - ")</f>
        <v>1863</v>
      </c>
      <c r="F15" s="404">
        <f>IF(ISNUMBER(E15/B15),E15/B15," - ")</f>
        <v>465.75</v>
      </c>
      <c r="G15" s="403">
        <f>IF(ISNUMBER(IF(D_I="SI",Datos!K15,Datos!K15+Datos!AE15)),IF(D_I="SI",Datos!K15,Datos!K15+Datos!AE15)," - ")</f>
        <v>1743</v>
      </c>
      <c r="H15" s="404">
        <f>IF(ISNUMBER(G15/B15),G15/B15," - ")</f>
        <v>435.75</v>
      </c>
      <c r="I15" s="403">
        <f>IF(ISNUMBER(IF(D_I="SI",Datos!L15,Datos!L15+Datos!AF15)),IF(D_I="SI",Datos!L15,Datos!L15+Datos!AF15)," - ")</f>
        <v>3360</v>
      </c>
      <c r="J15" s="404">
        <f>IF(ISNUMBER(I15/B15),I15/B15," - ")</f>
        <v>840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332</v>
      </c>
      <c r="D17" s="404">
        <f>IF(ISNUMBER(C17/Datos!BH17),C17/Datos!BH17," - ")</f>
        <v>332</v>
      </c>
      <c r="E17" s="403">
        <f>IF(ISNUMBER(IF(D_I="SI",Datos!J17,Datos!J17+Datos!AD17)),IF(D_I="SI",Datos!J17,Datos!J17+Datos!AD17)," - ")</f>
        <v>408</v>
      </c>
      <c r="F17" s="404">
        <f>IF(ISNUMBER(E17/B17),E17/B17," - ")</f>
        <v>408</v>
      </c>
      <c r="G17" s="403">
        <f>IF(ISNUMBER(IF(D_I="SI",Datos!K17,Datos!K17+Datos!AE17)),IF(D_I="SI",Datos!K17,Datos!K17+Datos!AE17)," - ")</f>
        <v>389</v>
      </c>
      <c r="H17" s="404">
        <f>IF(ISNUMBER(G17/B17),G17/B17," - ")</f>
        <v>389</v>
      </c>
      <c r="I17" s="403">
        <f>IF(ISNUMBER(IF(D_I="SI",Datos!L17,Datos!L17+Datos!AF17)),IF(D_I="SI",Datos!L17,Datos!L17+Datos!AF17)," - ")</f>
        <v>351</v>
      </c>
      <c r="J17" s="404">
        <f>IF(ISNUMBER(I17/B17),I17/B17," - ")</f>
        <v>351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3526</v>
      </c>
      <c r="D18" s="850" t="str">
        <f>IF(ISNUMBER(C18/Datos!BI18),C18/Datos!BI18," - ")</f>
        <v xml:space="preserve"> - </v>
      </c>
      <c r="E18" s="849">
        <f>SUBTOTAL(9,E14:E17)</f>
        <v>2271</v>
      </c>
      <c r="F18" s="850">
        <f>IF(ISNUMBER(E18/B18),E18/B18," - ")</f>
        <v>454.2</v>
      </c>
      <c r="G18" s="849">
        <f>SUBTOTAL(9,G14:G17)</f>
        <v>2132</v>
      </c>
      <c r="H18" s="850">
        <f>IF(ISNUMBER(G18/B18),G18/B18," - ")</f>
        <v>426.4</v>
      </c>
      <c r="I18" s="849">
        <f>SUBTOTAL(9,I14:I17)</f>
        <v>3713</v>
      </c>
      <c r="J18" s="850">
        <f>IF(ISNUMBER(I18/B18),I18/B18," - ")</f>
        <v>742.6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10386</v>
      </c>
      <c r="D19" s="795" t="str">
        <f>IF(ISNUMBER(C19/Datos!BI19),C19/Datos!BI19," - ")</f>
        <v xml:space="preserve"> - </v>
      </c>
      <c r="E19" s="794">
        <f>SUBTOTAL(9,E9:E18)</f>
        <v>6143</v>
      </c>
      <c r="F19" s="795">
        <f>IF(ISNUMBER(E19/B19),E19/B19," - ")</f>
        <v>614.29999999999995</v>
      </c>
      <c r="G19" s="794">
        <f>SUBTOTAL(9,G9:G18)</f>
        <v>4556</v>
      </c>
      <c r="H19" s="795">
        <f>IF(ISNUMBER(G19/B19),G19/B19," - ")</f>
        <v>455.6</v>
      </c>
      <c r="I19" s="794">
        <f>SUBTOTAL(9,I9:I18)</f>
        <v>12021</v>
      </c>
      <c r="J19" s="795">
        <f>IF(ISNUMBER(I19/B19),I19/B19," - ")</f>
        <v>1202.0999999999999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O1Otnoz2y9wUx4ENYY68wDxa7f5zFo9WtF+CB3mkweA+bkllsqGpZhH3K1jYunvJcT147eQnC3vXcMVN3p16ew==" saltValue="fzG9f71sb+Y4JPXCcH3y2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106</v>
      </c>
      <c r="G10" s="684">
        <f>IF(ISNUMBER(Datos!I10),Datos!I10," - ")</f>
        <v>106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116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17</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12.888888888888891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106</v>
      </c>
      <c r="G13" s="938">
        <f t="shared" si="0"/>
        <v>106</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116</v>
      </c>
      <c r="AG13" s="939">
        <f t="shared" si="1"/>
        <v>0</v>
      </c>
      <c r="AH13" s="939">
        <f t="shared" si="1"/>
        <v>31</v>
      </c>
      <c r="AI13" s="939">
        <f t="shared" si="1"/>
        <v>0</v>
      </c>
      <c r="AJ13" s="939">
        <f t="shared" si="1"/>
        <v>0</v>
      </c>
      <c r="AK13" s="939">
        <f t="shared" si="1"/>
        <v>0</v>
      </c>
      <c r="AL13" s="939">
        <f t="shared" si="1"/>
        <v>17</v>
      </c>
      <c r="AM13" s="939">
        <f t="shared" si="1"/>
        <v>8</v>
      </c>
      <c r="AN13" s="939">
        <f t="shared" si="1"/>
        <v>0</v>
      </c>
      <c r="AO13" s="939">
        <f t="shared" si="1"/>
        <v>0</v>
      </c>
      <c r="AP13" s="944">
        <f>IF(ISNUMBER(((Datos!L13/Datos!K13)*11)/factor_trimestre),((Datos!L13/Datos!K13)*11)/factor_trimestre," - ")</f>
        <v>10.349680170575695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-0.25471698113207547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5.2246716697936222</v>
      </c>
      <c r="AQ18" s="944">
        <f>IF(ISNUMBER(((Datos!M18/Datos!L18)*11)/factor_trimestre),((Datos!M18/Datos!L18)*11)/factor_trimestre," - ")</f>
        <v>0.30864530029625642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-3.5326086956521736E-2</v>
      </c>
      <c r="AW18" s="946">
        <f>IF(ISNUMBER((Datos!Q18-Datos!R18)/(Datos!S18-Datos!Q18+Datos!R18)),(Datos!Q18-Datos!R18)/(Datos!S18-Datos!Q18+Datos!R18)," - ")</f>
        <v>-7.4367088607594931E-2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106</v>
      </c>
      <c r="G19" s="951">
        <f t="shared" si="4"/>
        <v>106</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116</v>
      </c>
      <c r="AG19" s="958">
        <f t="shared" si="5"/>
        <v>0</v>
      </c>
      <c r="AH19" s="958">
        <f t="shared" si="5"/>
        <v>31</v>
      </c>
      <c r="AI19" s="958">
        <f t="shared" si="5"/>
        <v>0</v>
      </c>
      <c r="AJ19" s="959">
        <f t="shared" si="5"/>
        <v>0</v>
      </c>
      <c r="AK19" s="959">
        <f t="shared" si="5"/>
        <v>0</v>
      </c>
      <c r="AL19" s="951">
        <f t="shared" si="5"/>
        <v>17</v>
      </c>
      <c r="AM19" s="951">
        <f t="shared" si="5"/>
        <v>8</v>
      </c>
      <c r="AN19" s="951">
        <f t="shared" si="5"/>
        <v>0</v>
      </c>
      <c r="AO19" s="951">
        <f t="shared" si="5"/>
        <v>0</v>
      </c>
      <c r="AP19" s="951">
        <f>IF(ISNUMBER(((Datos!L19/Datos!K19)*11)/factor_trimestre),((Datos!L19/Datos!K19)*11)/factor_trimestre," - ")</f>
        <v>7.9090909090909092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-0.25471698113207547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-7.9320901753409407E-3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70.666666666666671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61.199128534100332</v>
      </c>
      <c r="G21" s="737">
        <f>IF(ISNUMBER(STDEV(G8:G18)),STDEV(G8:G18),"-")</f>
        <v>61.199128534100332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9.8149545762236379</v>
      </c>
      <c r="AM21" s="736"/>
      <c r="AN21" s="736">
        <f>IF(ISNUMBER(STDEV(AN8:AN18)),STDEV(AN8:AN18),"-")</f>
        <v>0</v>
      </c>
      <c r="AO21" s="742">
        <f>IF(ISNUMBER(STDEV(AO8:AO18)),STDEV(AO8:AO18),"-")</f>
        <v>0</v>
      </c>
      <c r="AP21" s="779">
        <f>IF(ISNUMBER(STDEV(AP8:AP18)),STDEV(AP8:AP18),"-")</f>
        <v>3.9041328236823296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RoDS19hzi6INm92Tcc+vfJS9zS326Rzne1zQ7U8Pmf1ePc+a65XO2aVb39z1z2U7h/m3o9jiuBgLW4y5/3ETDw==" saltValue="bdofVb4WTcZxsa3tBpee5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BENIDORM</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dPpCQje2A5LhaqWYa2WtEg6bbkwcQ16Z1R9ZAZbK6u6oPeL1NVlc1ykmV3vsKQH2tUL8Wlqck2hSTYRvsLw23Q==" saltValue="tBeyuiCjRVZEi9bQr1kZ2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BENIDORM</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586</v>
      </c>
      <c r="E9" s="404">
        <f t="shared" ref="E9:E13" si="0">IF(ISNUMBER(D9/B9),D9/B9," - ")</f>
        <v>117.2</v>
      </c>
      <c r="F9" s="403">
        <f>IF(ISNUMBER(Datos!N9),Datos!N9," - ")</f>
        <v>930</v>
      </c>
      <c r="G9" s="404">
        <f t="shared" ref="G9:G13" si="1">IF(ISNUMBER(F9/B9),F9/B9," - ")</f>
        <v>186</v>
      </c>
      <c r="H9" s="403">
        <f>IF(ISNUMBER(Datos!O9),Datos!O9," - ")</f>
        <v>1087</v>
      </c>
      <c r="I9" s="404">
        <f>IF(ISNUMBER(H9/B9),H9/B9," - ")</f>
        <v>217.4</v>
      </c>
      <c r="BZ9" s="1186">
        <f>Datos!EZ9</f>
        <v>0</v>
      </c>
    </row>
    <row r="10" spans="1:78">
      <c r="A10" s="402" t="str">
        <f>Datos!A10</f>
        <v>Jdos. Violencia contra la mujer</v>
      </c>
      <c r="B10" s="427">
        <f>Datos!AO10</f>
        <v>1</v>
      </c>
      <c r="C10" s="410">
        <f>Datos!AQ10</f>
        <v>1</v>
      </c>
      <c r="D10" s="403">
        <f>IF(ISNUMBER(Datos!M10),Datos!M10," - ")</f>
        <v>17</v>
      </c>
      <c r="E10" s="404">
        <f>IF(ISNUMBER(D10/B10),D10/B10," - ")</f>
        <v>17</v>
      </c>
      <c r="F10" s="403">
        <f>IF(ISNUMBER(Datos!N10),Datos!N10," - ")</f>
        <v>8</v>
      </c>
      <c r="G10" s="404">
        <f>IF(ISNUMBER(F10/B10),F10/B10," - ")</f>
        <v>8</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6</v>
      </c>
      <c r="C13" s="851">
        <f>Datos!AR13</f>
        <v>6</v>
      </c>
      <c r="D13" s="849">
        <f>SUBTOTAL(9,D9:D12)</f>
        <v>603</v>
      </c>
      <c r="E13" s="850">
        <f t="shared" si="0"/>
        <v>100.5</v>
      </c>
      <c r="F13" s="849">
        <f>SUBTOTAL(9,F9:F12)</f>
        <v>938</v>
      </c>
      <c r="G13" s="850">
        <f t="shared" si="1"/>
        <v>156.33333333333334</v>
      </c>
      <c r="H13" s="849">
        <f>SUBTOTAL(9,H9:H12)</f>
        <v>1091</v>
      </c>
      <c r="I13" s="850">
        <f>IF(ISNUMBER(H13/B13),H13/B13," - ")</f>
        <v>181.83333333333334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329</v>
      </c>
      <c r="E15" s="404">
        <f t="shared" ref="E15:E18" si="3">IF(ISNUMBER(D15/B15),D15/B15," - ")</f>
        <v>82.25</v>
      </c>
      <c r="F15" s="403">
        <f>IF(ISNUMBER(Datos!N15),Datos!N15," - ")</f>
        <v>923</v>
      </c>
      <c r="G15" s="404">
        <f t="shared" ref="G15:G18" si="4">IF(ISNUMBER(F15/B15),F15/B15," - ")</f>
        <v>230.75</v>
      </c>
      <c r="H15" s="403">
        <f>IF(ISNUMBER(Datos!O15),Datos!O15," - ")</f>
        <v>26</v>
      </c>
      <c r="I15" s="404">
        <f t="shared" ref="I15:I17" si="5">IF(ISNUMBER(H15/B15),H15/B15," - ")</f>
        <v>6.5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53</v>
      </c>
      <c r="E17" s="404">
        <f>IF(ISNUMBER(D17/B17),D17/B17," - ")</f>
        <v>53</v>
      </c>
      <c r="F17" s="403">
        <f>IF(ISNUMBER(Datos!N17),Datos!N17," - ")</f>
        <v>178</v>
      </c>
      <c r="G17" s="404">
        <f>IF(ISNUMBER(F17/B17),F17/B17," - ")</f>
        <v>178</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382</v>
      </c>
      <c r="E18" s="850">
        <f t="shared" si="3"/>
        <v>76.400000000000006</v>
      </c>
      <c r="F18" s="849">
        <f>SUBTOTAL(9,F15:F17)</f>
        <v>1101</v>
      </c>
      <c r="G18" s="850">
        <f t="shared" si="4"/>
        <v>220.2</v>
      </c>
      <c r="H18" s="849">
        <f>SUBTOTAL(9,H15:H17)</f>
        <v>27</v>
      </c>
      <c r="I18" s="850">
        <f>IF(ISNUMBER(H18/B18),H18/B18," - ")</f>
        <v>5.4</v>
      </c>
      <c r="BZ18" s="1186"/>
    </row>
    <row r="19" spans="1:78" ht="14.25" thickTop="1" thickBot="1">
      <c r="A19" s="793" t="str">
        <f>Datos!A19</f>
        <v>TOTAL JURISDICCIONES</v>
      </c>
      <c r="B19" s="794">
        <f>Datos!AP19</f>
        <v>10</v>
      </c>
      <c r="C19" s="794">
        <f>Datos!AR19</f>
        <v>10</v>
      </c>
      <c r="D19" s="794">
        <f>SUBTOTAL(9,D8:D18)</f>
        <v>985</v>
      </c>
      <c r="E19" s="795">
        <f>IF(ISNUMBER(D19/B19),D19/B19," - ")</f>
        <v>98.5</v>
      </c>
      <c r="F19" s="794">
        <f>SUBTOTAL(9,F8:F18)</f>
        <v>2039</v>
      </c>
      <c r="G19" s="795">
        <f>IF(ISNUMBER(F19/B19),F19/B19," - ")</f>
        <v>203.9</v>
      </c>
      <c r="H19" s="794">
        <f>SUBTOTAL(9,H8:H18)</f>
        <v>1118</v>
      </c>
      <c r="I19" s="795">
        <f>IF(ISNUMBER(H19/B19),H19/B19," - ")</f>
        <v>111.8</v>
      </c>
    </row>
    <row r="22" spans="1:78">
      <c r="A22" s="391" t="str">
        <f>Criterios!A4</f>
        <v>Fecha Informe: 03 jun. 2025</v>
      </c>
    </row>
    <row r="27" spans="1:78">
      <c r="A27" s="414"/>
    </row>
  </sheetData>
  <sheetProtection algorithmName="SHA-512" hashValue="Dyz53HjcmZIR0hVTBJA1mg5OHfWmquCQA2hxpPpWVoj49Ty7UCilUZv1DbHP6AwrPqDpBYMboUJ4+qTqtlOCsQ==" saltValue="lt2oVExjFZnPRuQBSkdX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BENIDORM</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466</v>
      </c>
      <c r="C9" s="434">
        <f>IF(ISNUMBER(Datos!Q9),Datos!Q9," - ")</f>
        <v>516</v>
      </c>
      <c r="D9" s="408">
        <f>IF(ISNUMBER(Datos!R9),Datos!R9," - ")</f>
        <v>6697</v>
      </c>
    </row>
    <row r="10" spans="1:4">
      <c r="A10" s="402" t="str">
        <f>Datos!A10</f>
        <v>Jdos. Violencia contra la mujer</v>
      </c>
      <c r="B10" s="433">
        <f>IF(ISNUMBER(Datos!P10),Datos!P10," - ")</f>
        <v>6</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0</v>
      </c>
      <c r="D12" s="408">
        <f>IF(ISNUMBER(Datos!R12),Datos!R12," - ")</f>
        <v>31</v>
      </c>
    </row>
    <row r="13" spans="1:4" ht="14.25" thickTop="1" thickBot="1">
      <c r="A13" s="848" t="str">
        <f>Datos!A13</f>
        <v>TOTAL</v>
      </c>
      <c r="B13" s="849">
        <f>SUBTOTAL(9,B9:B12)</f>
        <v>472</v>
      </c>
      <c r="C13" s="853">
        <f>SUBTOTAL(9,C9:C12)</f>
        <v>516</v>
      </c>
      <c r="D13" s="851">
        <f>SUBTOTAL(9,D9:D12)</f>
        <v>6774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101</v>
      </c>
      <c r="C15" s="434">
        <f>IF(ISNUMBER(Datos!Q15),Datos!Q15," - ")</f>
        <v>119</v>
      </c>
      <c r="D15" s="408">
        <f>IF(ISNUMBER(Datos!R15),Datos!R15," - ")</f>
        <v>345</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6</v>
      </c>
      <c r="C17" s="434">
        <f>IF(ISNUMBER(Datos!Q17),Datos!Q17," - ")</f>
        <v>1</v>
      </c>
      <c r="D17" s="408">
        <f>IF(ISNUMBER(Datos!R17),Datos!R17," - ")</f>
        <v>10</v>
      </c>
    </row>
    <row r="18" spans="1:4" ht="14.25" thickTop="1" thickBot="1">
      <c r="A18" s="848" t="str">
        <f>Datos!A18</f>
        <v>TOTAL</v>
      </c>
      <c r="B18" s="849">
        <f>SUBTOTAL(9,B15:B17)</f>
        <v>107</v>
      </c>
      <c r="C18" s="853">
        <f>SUBTOTAL(9,C15:C17)</f>
        <v>120</v>
      </c>
      <c r="D18" s="851">
        <f>SUBTOTAL(9,D15:D17)</f>
        <v>355</v>
      </c>
    </row>
    <row r="19" spans="1:4" ht="16.5" customHeight="1" thickTop="1" thickBot="1">
      <c r="A19" s="793" t="str">
        <f>Datos!A19</f>
        <v>TOTAL JURISDICCIONES</v>
      </c>
      <c r="B19" s="798">
        <f>SUBTOTAL(9,B8:B18)</f>
        <v>579</v>
      </c>
      <c r="C19" s="799">
        <f>SUBTOTAL(9,C8:C18)</f>
        <v>636</v>
      </c>
      <c r="D19" s="800">
        <f>SUBTOTAL(9,D8:D18)</f>
        <v>7129</v>
      </c>
    </row>
    <row r="20" spans="1:4" ht="7.5" customHeight="1"/>
    <row r="21" spans="1:4" ht="6" customHeight="1"/>
    <row r="22" spans="1:4">
      <c r="A22" s="391" t="str">
        <f>Criterios!A4</f>
        <v>Fecha Informe: 03 jun. 2025</v>
      </c>
    </row>
    <row r="27" spans="1:4">
      <c r="A27" s="414"/>
    </row>
  </sheetData>
  <sheetProtection algorithmName="SHA-512" hashValue="PT7yUVn34IdAOlcbBG/s7RlPhWLM1UcDilrQeUlrZ3r+ZjFMAWVAL8riRbhrBD84PggAARhQo9NIGiFl+XlEEA==" saltValue="wKg2KMgxxdp4MJPC1bka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BENIDORM</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0.2498611882287618</v>
      </c>
      <c r="C9" s="456">
        <f>IF(ISNUMBER(
   IF(J_V="SI",(Datos!J9-Datos!T9)/Datos!T9,(Datos!J9+Datos!Z9-(Datos!T9+Datos!AH9))/(Datos!T9+Datos!AH9))
     ),IF(J_V="SI",(Datos!J9-Datos!T9)/Datos!T9,(Datos!J9+Datos!Z9-(Datos!T9+Datos!AH9))/(Datos!T9+Datos!AH9))," - ")</f>
        <v>0.79793717768401318</v>
      </c>
      <c r="D9" s="456">
        <f>IF(ISNUMBER(
   IF(J_V="SI",(Datos!K9-Datos!U9)/Datos!U9,(Datos!K9+Datos!AA9-(Datos!U9+Datos!AI9))/(Datos!U9+Datos!AI9))
     ),IF(J_V="SI",(Datos!K9-Datos!U9)/Datos!U9,(Datos!K9+Datos!AA9-(Datos!U9+Datos!AI9))/(Datos!U9+Datos!AI9))," - ")</f>
        <v>4.581151832460733E-2</v>
      </c>
      <c r="E9" s="456">
        <f>IF(ISNUMBER(
   IF(J_V="SI",(Datos!L9-Datos!V9)/Datos!V9,(Datos!L9+Datos!AB9-(Datos!V9+Datos!AJ9))/(Datos!V9+Datos!AJ9))
     ),IF(J_V="SI",(Datos!L9-Datos!V9)/Datos!V9,(Datos!L9+Datos!AB9-(Datos!V9+Datos!AJ9))/(Datos!V9+Datos!AJ9))," - ")</f>
        <v>0.4949808359189633</v>
      </c>
      <c r="F9" s="456">
        <f>IF(ISNUMBER((Datos!M9-Datos!W9)/Datos!W9),(Datos!M9-Datos!W9)/Datos!W9," - ")</f>
        <v>0.21576763485477179</v>
      </c>
      <c r="G9" s="457">
        <f>IF(ISNUMBER((Datos!N9-Datos!X9)/Datos!X9),(Datos!N9-Datos!X9)/Datos!X9," - ")</f>
        <v>-7.470651013874066E-3</v>
      </c>
      <c r="H9" s="455">
        <f>IF(ISNUMBER(((NºAsuntos!G9/NºAsuntos!E9)-Datos!BD9)/Datos!BD9),((NºAsuntos!G9/NºAsuntos!E9)-Datos!BD9)/Datos!BD9," - ")</f>
        <v>-0.41832699645726529</v>
      </c>
      <c r="I9" s="456">
        <f>IF(ISNUMBER(((NºAsuntos!I9/NºAsuntos!G9)-Datos!BE9)/Datos!BE9),((NºAsuntos!I9/NºAsuntos!G9)-Datos!BE9)/Datos!BE9," - ")</f>
        <v>0.42949356525918403</v>
      </c>
      <c r="J9" s="461">
        <f>IF(ISNUMBER((('Resol  Asuntos'!D9/NºAsuntos!G9)-Datos!BF9)/Datos!BF9),(('Resol  Asuntos'!D9/NºAsuntos!G9)-Datos!BF9)/Datos!BF9," - ")</f>
        <v>-0.4019952902707894</v>
      </c>
      <c r="K9" s="462">
        <f>IF(ISNUMBER((((NºAsuntos!C9+NºAsuntos!E9)/NºAsuntos!G9)-Datos!BG9)/Datos!BG9),(((NºAsuntos!C9+NºAsuntos!E9)/NºAsuntos!G9)-Datos!BG9)/Datos!BG9," - ")</f>
        <v>0.34344416720475945</v>
      </c>
    </row>
    <row r="10" spans="1:11">
      <c r="A10" s="402" t="str">
        <f>Datos!A10</f>
        <v>Jdos. Violencia contra la mujer</v>
      </c>
      <c r="B10" s="455">
        <f>IF(ISNUMBER((Datos!I10-Datos!S10)/Datos!S10),(Datos!I10-Datos!S10)/Datos!S10," - ")</f>
        <v>0.58208955223880599</v>
      </c>
      <c r="C10" s="456">
        <f>IF(ISNUMBER((Datos!J10-Datos!T10)/Datos!T10),(Datos!J10-Datos!T10)/Datos!T10," - ")</f>
        <v>-0.27450980392156865</v>
      </c>
      <c r="D10" s="456">
        <f>IF(ISNUMBER((Datos!K10-Datos!U10)/Datos!U10),(Datos!K10-Datos!U10)/Datos!U10," - ")</f>
        <v>-6.8965517241379309E-2</v>
      </c>
      <c r="E10" s="456">
        <f>IF(ISNUMBER((Datos!L10-Datos!V10)/Datos!V10),(Datos!L10-Datos!V10)/Datos!V10," - ")</f>
        <v>0.30337078651685395</v>
      </c>
      <c r="F10" s="456">
        <f>IF(ISNUMBER((Datos!M10-Datos!W10)/Datos!W10),(Datos!M10-Datos!W10)/Datos!W10," - ")</f>
        <v>0.7</v>
      </c>
      <c r="G10" s="457">
        <f>IF(ISNUMBER((Datos!N10-Datos!X10)/Datos!X10),(Datos!N10-Datos!X10)/Datos!X10," - ")</f>
        <v>-0.46666666666666667</v>
      </c>
      <c r="H10" s="455">
        <f>IF(ISNUMBER(((NºAsuntos!G10/NºAsuntos!E10)-Datos!BD10)/Datos!BD10),((NºAsuntos!G10/NºAsuntos!E10)-Datos!BD10)/Datos!BD10," - ")</f>
        <v>0.28331780055917988</v>
      </c>
      <c r="I10" s="456">
        <f>IF(ISNUMBER(((NºAsuntos!I10/NºAsuntos!G10)-Datos!BE10)/Datos!BE10),((NºAsuntos!I10/NºAsuntos!G10)-Datos!BE10)/Datos!BE10," - ")</f>
        <v>0.39991677070328763</v>
      </c>
      <c r="J10" s="461">
        <f>IF(ISNUMBER((('Resol  Asuntos'!D10/NºAsuntos!G10)-Datos!BF10)/Datos!BF10),(('Resol  Asuntos'!D10/NºAsuntos!G10)-Datos!BF10)/Datos!BF10," - ")</f>
        <v>0.82592592592592584</v>
      </c>
      <c r="K10" s="462">
        <f>IF(ISNUMBER((((NºAsuntos!C10+NºAsuntos!E10)/NºAsuntos!G10)-Datos!BG10)/Datos!BG10),(((NºAsuntos!C10+NºAsuntos!E10)/NºAsuntos!G10)-Datos!BG10)/Datos!BG10," - ")</f>
        <v>0.30163214061519167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-0.5</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0.25365497076023391</v>
      </c>
      <c r="C13" s="855">
        <f>IF(ISNUMBER(
   IF(J_V="SI",(Datos!J13-Datos!T13)/Datos!T13,(Datos!J13+Datos!Z13-(Datos!T13+Datos!AH13))/(Datos!T13+Datos!AH13))
     ),IF(J_V="SI",(Datos!J13-Datos!T13)/Datos!T13,(Datos!J13+Datos!Z13-(Datos!T13+Datos!AH13))/(Datos!T13+Datos!AH13))," - ")</f>
        <v>0.77289377289377292</v>
      </c>
      <c r="D13" s="855">
        <f>IF(ISNUMBER(
   IF(J_V="SI",(Datos!K13-Datos!U13)/Datos!U13,(Datos!K13+Datos!AA13-(Datos!U13+Datos!AI13))/(Datos!U13+Datos!AI13))
     ),IF(J_V="SI",(Datos!K13-Datos!U13)/Datos!U13,(Datos!K13+Datos!AA13-(Datos!U13+Datos!AI13))/(Datos!U13+Datos!AI13))," - ")</f>
        <v>4.4377423524342957E-2</v>
      </c>
      <c r="E13" s="855">
        <f>IF(ISNUMBER(
   IF(J_V="SI",(Datos!L13-Datos!V13)/Datos!V13,(Datos!L13+Datos!AB13-(Datos!V13+Datos!AJ13))/(Datos!V13+Datos!AJ13))
     ),IF(J_V="SI",(Datos!L13-Datos!V13)/Datos!V13,(Datos!L13+Datos!AB13-(Datos!V13+Datos!AJ13))/(Datos!V13+Datos!AJ13))," - ")</f>
        <v>0.49156193895870737</v>
      </c>
      <c r="F13" s="856">
        <f>IF(ISNUMBER((Datos!M13-Datos!W13)/Datos!W13),(Datos!M13-Datos!W13)/Datos!W13," - ")</f>
        <v>0.22560975609756098</v>
      </c>
      <c r="G13" s="857">
        <f>IF(ISNUMBER((Datos!N13-Datos!X13)/Datos!X13),(Datos!N13-Datos!X13)/Datos!X13," - ")</f>
        <v>-1.4705882352941176E-2</v>
      </c>
      <c r="H13" s="857">
        <f>IF(ISNUMBER(((NºAsuntos!G13/NºAsuntos!E13)-Datos!BD13)/Datos!BD13),((NºAsuntos!G13/NºAsuntos!E13)-Datos!BD13)/Datos!BD13," - ")</f>
        <v>-0.41091934582201317</v>
      </c>
      <c r="I13" s="857">
        <f>IF(ISNUMBER(((NºAsuntos!I13/NºAsuntos!G13)-Datos!BE13)/Datos!BE13),((NºAsuntos!I13/NºAsuntos!G13)-Datos!BE13)/Datos!BE13," - ")</f>
        <v>0.42818286316962023</v>
      </c>
      <c r="J13" s="857">
        <f>IF(ISNUMBER((('Resol  Asuntos'!D13/NºAsuntos!G13)-Datos!BF13)/Datos!BF13),(('Resol  Asuntos'!D13/NºAsuntos!G13)-Datos!BF13)/Datos!BF13," - ")</f>
        <v>-0.39030889625393372</v>
      </c>
      <c r="K13" s="857">
        <f>IF(ISNUMBER((((NºAsuntos!C13+NºAsuntos!E13)/NºAsuntos!G13)-Datos!BG13)/Datos!BG13),(((NºAsuntos!C13+NºAsuntos!E13)/NºAsuntos!G13)-Datos!BG13)/Datos!BG13," - ")</f>
        <v>0.34221245400402123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0.17960088691796008</v>
      </c>
      <c r="C15" s="456">
        <f>IF(ISNUMBER(
   IF(D_I="SI",(Datos!J15-Datos!T15)/Datos!T15,(Datos!J15+Datos!AD15-(Datos!T15+Datos!AL15))/(Datos!T15+Datos!AL15))
     ),IF(D_I="SI",(Datos!J15-Datos!T15)/Datos!T15,(Datos!J15+Datos!AD15-(Datos!T15+Datos!AL15))/(Datos!T15+Datos!AL15))," - ")</f>
        <v>-0.14147465437788018</v>
      </c>
      <c r="D15" s="456">
        <f>IF(ISNUMBER(
   IF(D_I="SI",(Datos!K15-Datos!U15)/Datos!U15,(Datos!K15+Datos!AE15-(Datos!U15+Datos!AM15))/(Datos!U15+Datos!AM15))
     ),IF(D_I="SI",(Datos!K15-Datos!U15)/Datos!U15,(Datos!K15+Datos!AE15-(Datos!U15+Datos!AM15))/(Datos!U15+Datos!AM15))," - ")</f>
        <v>-0.17976470588235294</v>
      </c>
      <c r="E15" s="456">
        <f>IF(ISNUMBER(
   IF(D_I="SI",(Datos!L15-Datos!V15)/Datos!V15,(Datos!L15+Datos!AF15-(Datos!V15+Datos!AN15))/(Datos!V15+Datos!AN15))
     ),IF(D_I="SI",(Datos!L15-Datos!V15)/Datos!V15,(Datos!L15+Datos!AF15-(Datos!V15+Datos!AN15))/(Datos!V15+Datos!AN15))," - ")</f>
        <v>0.20516499282639886</v>
      </c>
      <c r="F15" s="456">
        <f>IF(ISNUMBER((Datos!M15-Datos!W15)/Datos!W15),(Datos!M15-Datos!W15)/Datos!W15," - ")</f>
        <v>-1.7910447761194031E-2</v>
      </c>
      <c r="G15" s="457">
        <f>IF(ISNUMBER((Datos!N15-Datos!X15)/Datos!X15),(Datos!N15-Datos!X15)/Datos!X15," - ")</f>
        <v>-0.24591503267973855</v>
      </c>
      <c r="H15" s="455">
        <f>IF(ISNUMBER(((NºAsuntos!G15/NºAsuntos!E15)-Datos!BD15)/Datos!BD15),((NºAsuntos!G15/NºAsuntos!E15)-Datos!BD15)/Datos!BD15," - ")</f>
        <v>-4.4599791607464224E-2</v>
      </c>
      <c r="I15" s="456">
        <f>IF(ISNUMBER(((NºAsuntos!I15/NºAsuntos!G15)-Datos!BE15)/Datos!BE15),((NºAsuntos!I15/NºAsuntos!G15)-Datos!BE15)/Datos!BE15," - ")</f>
        <v>0.46929180135174836</v>
      </c>
      <c r="J15" s="461">
        <f>IF(ISNUMBER((('Resol  Asuntos'!D15/NºAsuntos!G15)-Datos!BF15)/Datos!BF15),(('Resol  Asuntos'!D15/NºAsuntos!G15)-Datos!BF15)/Datos!BF15," - ")</f>
        <v>0.19732661991248565</v>
      </c>
      <c r="K15" s="462">
        <f>IF(ISNUMBER((((NºAsuntos!C15+NºAsuntos!E15)/NºAsuntos!G15)-Datos!BG15)/Datos!BG15),(((NºAsuntos!C15+NºAsuntos!E15)/NºAsuntos!G15)-Datos!BG15)/Datos!BG15," - ")</f>
        <v>0.26391832418152633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0.52995391705069128</v>
      </c>
      <c r="C17" s="456">
        <f>IF(ISNUMBER(
   IF(D_I="SI",(Datos!J17-Datos!T17)/Datos!T17,(Datos!J17+Datos!AD17-(Datos!T17+Datos!AL17))/(Datos!T17+Datos!AL17))
     ),IF(D_I="SI",(Datos!J17-Datos!T17)/Datos!T17,(Datos!J17+Datos!AD17-(Datos!T17+Datos!AL17))/(Datos!T17+Datos!AL17))," - ")</f>
        <v>-3.7735849056603772E-2</v>
      </c>
      <c r="D17" s="456">
        <f>IF(ISNUMBER(
   IF(D_I="SI",(Datos!K17-Datos!U17)/Datos!U17,(Datos!K17+Datos!AE17-(Datos!U17+Datos!AM17))/(Datos!U17+Datos!AM17))
     ),IF(D_I="SI",(Datos!K17-Datos!U17)/Datos!U17,(Datos!K17+Datos!AE17-(Datos!U17+Datos!AM17))/(Datos!U17+Datos!AM17))," - ")</f>
        <v>4.2895442359249331E-2</v>
      </c>
      <c r="E17" s="456">
        <f>IF(ISNUMBER(
   IF(D_I="SI",(Datos!L17-Datos!V17)/Datos!V17,(Datos!L17+Datos!AF17-(Datos!V17+Datos!AN17))/(Datos!V17+Datos!AN17))
     ),IF(D_I="SI",(Datos!L17-Datos!V17)/Datos!V17,(Datos!L17+Datos!AF17-(Datos!V17+Datos!AN17))/(Datos!V17+Datos!AN17))," - ")</f>
        <v>0.30970149253731344</v>
      </c>
      <c r="F17" s="456">
        <f>IF(ISNUMBER((Datos!M17-Datos!W17)/Datos!W17),(Datos!M17-Datos!W17)/Datos!W17," - ")</f>
        <v>0.06</v>
      </c>
      <c r="G17" s="457">
        <f>IF(ISNUMBER((Datos!N17-Datos!X17)/Datos!X17),(Datos!N17-Datos!X17)/Datos!X17," - ")</f>
        <v>8.5365853658536592E-2</v>
      </c>
      <c r="H17" s="455">
        <f>IF(ISNUMBER(((NºAsuntos!G17/NºAsuntos!E17)-Datos!BD17)/Datos!BD17),((NºAsuntos!G17/NºAsuntos!E17)-Datos!BD17)/Datos!BD17," - ")</f>
        <v>8.3793302843925763E-2</v>
      </c>
      <c r="I17" s="456">
        <f>IF(ISNUMBER(((NºAsuntos!I17/NºAsuntos!G17)-Datos!BE17)/Datos!BE17),((NºAsuntos!I17/NºAsuntos!G17)-Datos!BE17)/Datos!BE17," - ")</f>
        <v>0.25583202240724395</v>
      </c>
      <c r="J17" s="461">
        <f>IF(ISNUMBER((('Resol  Asuntos'!D17/NºAsuntos!G17)-Datos!BF17)/Datos!BF17),(('Resol  Asuntos'!D17/NºAsuntos!G17)-Datos!BF17)/Datos!BF17," - ")</f>
        <v>1.6401028277634812E-2</v>
      </c>
      <c r="K17" s="462">
        <f>IF(ISNUMBER((((NºAsuntos!C17+NºAsuntos!E17)/NºAsuntos!G17)-Datos!BG17)/Datos!BG17),(((NºAsuntos!C17+NºAsuntos!E17)/NºAsuntos!G17)-Datos!BG17)/Datos!BG17," - ")</f>
        <v>0.10696253042923767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0.20547008547008547</v>
      </c>
      <c r="C18" s="855">
        <f>IF(ISNUMBER(
   IF(Criterios!B14="SI",(Datos!J18-Datos!T18)/Datos!T18,(Datos!J18+Datos!AD18-(Datos!T18+Datos!AL18))/(Datos!T18+Datos!AL18))
     ),IF(Criterios!B14="SI",(Datos!J18-Datos!T18)/Datos!T18,(Datos!J18+Datos!AD18-(Datos!T18+Datos!AL18))/(Datos!T18+Datos!AL18))," - ")</f>
        <v>-0.12451811873554357</v>
      </c>
      <c r="D18" s="855">
        <f>IF(ISNUMBER(
   IF(Criterios!B14="SI",(Datos!K18-Datos!U18)/Datos!U18,(Datos!K18+Datos!AE18-(Datos!U18+Datos!AM18))/(Datos!U18+Datos!AM18))
     ),IF(Criterios!B14="SI",(Datos!K18-Datos!U18)/Datos!U18,(Datos!K18+Datos!AE18-(Datos!U18+Datos!AM18))/(Datos!U18+Datos!AM18))," - ")</f>
        <v>-0.14651721377101681</v>
      </c>
      <c r="E18" s="855">
        <f>IF(ISNUMBER(
   IF(Criterios!B14="SI",(Datos!L18-Datos!V18)/Datos!V18,(Datos!L18+Datos!AF18-(Datos!V18+Datos!AN18))/(Datos!V18+Datos!AN18))
     ),IF(Criterios!B14="SI",(Datos!L18-Datos!V18)/Datos!V18,(Datos!L18+Datos!AF18-(Datos!V18+Datos!AN18))/(Datos!V18+Datos!AN18))," - ")</f>
        <v>0.21419228253760628</v>
      </c>
      <c r="F18" s="856">
        <f>IF(ISNUMBER((Datos!M18-Datos!W18)/Datos!W18),(Datos!M18-Datos!W18)/Datos!W18," - ")</f>
        <v>-7.7922077922077922E-3</v>
      </c>
      <c r="G18" s="857">
        <f>IF(ISNUMBER((Datos!N18-Datos!X18)/Datos!X18),(Datos!N18-Datos!X18)/Datos!X18," - ")</f>
        <v>-0.20677233429394812</v>
      </c>
      <c r="H18" s="857">
        <f>IF(ISNUMBER(((NºAsuntos!G18/NºAsuntos!E18)-Datos!BD18)/Datos!BD18),((NºAsuntos!G18/NºAsuntos!E18)-Datos!BD18)/Datos!BD18," - ")</f>
        <v>-2.5127984377814824E-2</v>
      </c>
      <c r="I18" s="857">
        <f>IF(ISNUMBER(((NºAsuntos!I18/NºAsuntos!G18)-Datos!BE18)/Datos!BE18),((NºAsuntos!I18/NºAsuntos!G18)-Datos!BE18)/Datos!BE18," - ")</f>
        <v>0.42263242109706406</v>
      </c>
      <c r="J18" s="857">
        <f>IF(ISNUMBER((('Resol  Asuntos'!D18/NºAsuntos!G18)-Datos!BF18)/Datos!BF18),(('Resol  Asuntos'!D18/NºAsuntos!G18)-Datos!BF18)/Datos!BF18," - ")</f>
        <v>0.16253989912526493</v>
      </c>
      <c r="K18" s="857">
        <f>IF(ISNUMBER((((NºAsuntos!C18+NºAsuntos!E18)/NºAsuntos!G18)-Datos!BG18)/Datos!BG18),(((NºAsuntos!C18+NºAsuntos!E18)/NºAsuntos!G18)-Datos!BG18)/Datos!BG18," - ")</f>
        <v>0.23068849313662129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0.23687031082529475</v>
      </c>
      <c r="C19" s="802">
        <f>IF(ISNUMBER(
   IF(J_V="SI",(Datos!J19-Datos!T19)/Datos!T19,(Datos!J19+Datos!Z19-(Datos!T19+Datos!AH19))/(Datos!T19+Datos!AH19))
     ),IF(J_V="SI",(Datos!J19-Datos!T19)/Datos!T19,(Datos!J19+Datos!Z19-(Datos!T19+Datos!AH19))/(Datos!T19+Datos!AH19))," - ")</f>
        <v>0.28568438677270824</v>
      </c>
      <c r="D19" s="802">
        <f>IF(ISNUMBER(
   IF(J_V="SI",(Datos!K19-Datos!U19)/Datos!U19,(Datos!K19+Datos!AA19-(Datos!U19+Datos!AI19))/(Datos!U19+Datos!AI19))
     ),IF(J_V="SI",(Datos!K19-Datos!U19)/Datos!U19,(Datos!K19+Datos!AA19-(Datos!U19+Datos!AI19))/(Datos!U19+Datos!AI19))," - ")</f>
        <v>-5.45756380991907E-2</v>
      </c>
      <c r="E19" s="802">
        <f>IF(ISNUMBER(
   IF(J_V="SI",(Datos!L19-Datos!V19)/Datos!V19,(Datos!L19+Datos!AB19-(Datos!V19+Datos!AJ19))/(Datos!V19+Datos!AJ19))
     ),IF(J_V="SI",(Datos!L19-Datos!V19)/Datos!V19,(Datos!L19+Datos!AB19-(Datos!V19+Datos!AJ19))/(Datos!V19+Datos!AJ19))," - ")</f>
        <v>0.39325452016689849</v>
      </c>
      <c r="F19" s="803">
        <f>IF(ISNUMBER((Datos!M19-Datos!W19)/Datos!W19),(Datos!M19-Datos!W19)/Datos!W19," - ")</f>
        <v>0.12314709236031927</v>
      </c>
      <c r="G19" s="804">
        <f>IF(ISNUMBER((Datos!N19-Datos!X19)/Datos!X19),(Datos!N19-Datos!X19)/Datos!X19," - ")</f>
        <v>-0.12863247863247862</v>
      </c>
      <c r="H19" s="805">
        <f>IF(ISNUMBER((Tasas!B19-Datos!BD19)/Datos!BD19),(Tasas!B19-Datos!BD19)/Datos!BD19," - ")</f>
        <v>-0.26465284044244403</v>
      </c>
      <c r="I19" s="806">
        <f>IF(ISNUMBER((Tasas!C19-Datos!BE19)/Datos!BE19),(Tasas!C19-Datos!BE19)/Datos!BE19," - ")</f>
        <v>0.47368163579549688</v>
      </c>
      <c r="J19" s="807">
        <f>IF(ISNUMBER((Tasas!D19-Datos!BF19)/Datos!BF19),(Tasas!D19-Datos!BF19)/Datos!BF19," - ")</f>
        <v>-0.21782268440521299</v>
      </c>
      <c r="K19" s="807">
        <f>IF(ISNUMBER((Tasas!E19-Datos!BG19)/Datos!BG19),(Tasas!E19-Datos!BG19)/Datos!BG19," - ")</f>
        <v>0.32699463392935973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GsnO76UZ+mg8CMYColXpT7KX0C4zuaoZqOW8x92MoQZ1d6oQ4YH/W66RRjXFBFUEBIU1YbPn+N/pp2YfcS+RQ==" saltValue="htZ8HlTKCdGrCElroFFyB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BENIDORM</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0.62503259452411997</v>
      </c>
      <c r="C9" s="443">
        <f>IF(ISNUMBER(NºAsuntos!I9/NºAsuntos!G9),NºAsuntos!I9/NºAsuntos!G9," - ")</f>
        <v>3.4171881518564873</v>
      </c>
      <c r="D9" s="444">
        <f>IF(ISNUMBER('Resol  Asuntos'!D9/NºAsuntos!G9),'Resol  Asuntos'!D9/NºAsuntos!G9," - ")</f>
        <v>0.24447225698790154</v>
      </c>
      <c r="E9" s="445">
        <f>IF(ISNUMBER((NºAsuntos!C9+NºAsuntos!E9)/NºAsuntos!G9),(NºAsuntos!C9+NºAsuntos!E9)/NºAsuntos!G9," - ")</f>
        <v>4.4171881518564868</v>
      </c>
      <c r="G9" s="463"/>
    </row>
    <row r="10" spans="1:7">
      <c r="A10" s="402" t="str">
        <f>Datos!A10</f>
        <v>Jdos. Violencia contra la mujer</v>
      </c>
      <c r="B10" s="442">
        <f>IF(ISNUMBER(NºAsuntos!G10/NºAsuntos!E10),NºAsuntos!G10/NºAsuntos!E10," - ")</f>
        <v>0.72972972972972971</v>
      </c>
      <c r="C10" s="443">
        <f>IF(ISNUMBER(NºAsuntos!I10/NºAsuntos!G10),NºAsuntos!I10/NºAsuntos!G10," - ")</f>
        <v>4.2962962962962967</v>
      </c>
      <c r="D10" s="444">
        <f>IF(ISNUMBER('Resol  Asuntos'!D10/NºAsuntos!G10),'Resol  Asuntos'!D10/NºAsuntos!G10," - ")</f>
        <v>0.62962962962962965</v>
      </c>
      <c r="E10" s="445">
        <f>IF(ISNUMBER((NºAsuntos!C10+NºAsuntos!E10)/NºAsuntos!G10),(NºAsuntos!C10+NºAsuntos!E10)/NºAsuntos!G10," - ")</f>
        <v>5.2962962962962967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0.62603305785123964</v>
      </c>
      <c r="C13" s="859">
        <f>IF(ISNUMBER(NºAsuntos!I13/NºAsuntos!G13),NºAsuntos!I13/NºAsuntos!G13," - ")</f>
        <v>3.4273927392739272</v>
      </c>
      <c r="D13" s="860">
        <f>IF(ISNUMBER('Resol  Asuntos'!D13/NºAsuntos!G13),'Resol  Asuntos'!D13/NºAsuntos!G13," - ")</f>
        <v>0.24876237623762376</v>
      </c>
      <c r="E13" s="861">
        <f>IF(ISNUMBER((NºAsuntos!C13+NºAsuntos!E13)/NºAsuntos!G13),(NºAsuntos!C13+NºAsuntos!E13)/NºAsuntos!G13," - ")</f>
        <v>4.4273927392739276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0.93558776167471824</v>
      </c>
      <c r="C15" s="443">
        <f>IF(ISNUMBER(NºAsuntos!I15/NºAsuntos!G15),NºAsuntos!I15/NºAsuntos!G15," - ")</f>
        <v>1.927710843373494</v>
      </c>
      <c r="D15" s="444">
        <f>IF(ISNUMBER('Resol  Asuntos'!D15/NºAsuntos!G15),'Resol  Asuntos'!D15/NºAsuntos!G15," - ")</f>
        <v>0.18875502008032127</v>
      </c>
      <c r="E15" s="445">
        <f>IF(ISNUMBER((NºAsuntos!C15+NºAsuntos!E15)/NºAsuntos!G15),(NºAsuntos!C15+NºAsuntos!E15)/NºAsuntos!G15," - ")</f>
        <v>2.9001721170395869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0.95343137254901966</v>
      </c>
      <c r="C17" s="443">
        <f>IF(ISNUMBER(NºAsuntos!I17/NºAsuntos!G17),NºAsuntos!I17/NºAsuntos!G17," - ")</f>
        <v>0.90231362467866327</v>
      </c>
      <c r="D17" s="444">
        <f>IF(ISNUMBER('Resol  Asuntos'!D17/NºAsuntos!G17),'Resol  Asuntos'!D17/NºAsuntos!G17," - ")</f>
        <v>0.13624678663239073</v>
      </c>
      <c r="E17" s="445">
        <f>IF(ISNUMBER((NºAsuntos!C17+NºAsuntos!E17)/NºAsuntos!G17),(NºAsuntos!C17+NºAsuntos!E17)/NºAsuntos!G17," - ")</f>
        <v>1.9023136246786632</v>
      </c>
      <c r="G17" s="463"/>
    </row>
    <row r="18" spans="1:7" ht="14.25" thickTop="1" thickBot="1">
      <c r="A18" s="848" t="str">
        <f>Datos!A18</f>
        <v>TOTAL</v>
      </c>
      <c r="B18" s="858">
        <f>IF(ISNUMBER(NºAsuntos!G18/NºAsuntos!E18),NºAsuntos!G18/NºAsuntos!E18," - ")</f>
        <v>0.93879348304711585</v>
      </c>
      <c r="C18" s="859">
        <f>IF(ISNUMBER(NºAsuntos!I18/NºAsuntos!G18),NºAsuntos!I18/NºAsuntos!G18," - ")</f>
        <v>1.7415572232645404</v>
      </c>
      <c r="D18" s="862">
        <f>IF(ISNUMBER('Resol  Asuntos'!D18/NºAsuntos!G18),'Resol  Asuntos'!D18/NºAsuntos!G18," - ")</f>
        <v>0.17917448405253283</v>
      </c>
      <c r="E18" s="861">
        <f>IF(ISNUMBER((NºAsuntos!C18+NºAsuntos!E18)/NºAsuntos!G18),(NºAsuntos!C18+NºAsuntos!E18)/NºAsuntos!G18," - ")</f>
        <v>2.7190431519699811</v>
      </c>
      <c r="G18" s="463"/>
    </row>
    <row r="19" spans="1:7" ht="15.75" customHeight="1" thickTop="1" thickBot="1">
      <c r="A19" s="793" t="str">
        <f>Datos!A19</f>
        <v>TOTAL JURISDICCIONES</v>
      </c>
      <c r="B19" s="808">
        <f>IF(ISNUMBER(NºAsuntos!G19/NºAsuntos!E19),NºAsuntos!G19/NºAsuntos!E19," - ")</f>
        <v>0.7416571707634706</v>
      </c>
      <c r="C19" s="809">
        <f>IF(ISNUMBER(NºAsuntos!I19/NºAsuntos!G19),NºAsuntos!I19/NºAsuntos!G19," - ")</f>
        <v>2.6384986830553117</v>
      </c>
      <c r="D19" s="810">
        <f>IF(ISNUMBER('Resol  Asuntos'!D19/NºAsuntos!G19),'Resol  Asuntos'!D19/NºAsuntos!G19," - ")</f>
        <v>0.21619841966637401</v>
      </c>
      <c r="E19" s="811">
        <f>IF(ISNUMBER((NºAsuntos!C19+NºAsuntos!E19)/NºAsuntos!G19),(NºAsuntos!C19+NºAsuntos!E19)/NºAsuntos!G19," - ")</f>
        <v>3.6279631255487268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uw2fNOS69aPIcX10u3XKEradAI8uSvbHjWXWFm3U7nRJK2i/ZAFOtQIyiKpvqyyzBSTPpHWPsltfC+8JXnnqA==" saltValue="1Khr+qPqijBeLBm6adIvL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BENIDORM</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516</v>
      </c>
      <c r="Y9" s="334">
        <f>SUM(W9:X9)</f>
        <v>516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6697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586</v>
      </c>
      <c r="AJ9" s="229" t="str">
        <f>IF(ISNUMBER(Datos!BW9),Datos!BW9," - ")</f>
        <v xml:space="preserve"> - </v>
      </c>
      <c r="AK9" s="228" t="str">
        <f>IF(ISNUMBER(Datos!BX9),Datos!BX9," - ")</f>
        <v xml:space="preserve"> - </v>
      </c>
      <c r="AL9" s="243">
        <f>IF(ISNUMBER(NºAsuntos!G9/NºAsuntos!E9),NºAsuntos!G9/NºAsuntos!E9," - ")</f>
        <v>0.62503259452411997</v>
      </c>
      <c r="AM9" s="260">
        <f>IF(ISNUMBER(((NºAsuntos!I9/NºAsuntos!G9)*11)/factor_trimestre),((NºAsuntos!I9/NºAsuntos!G9)*11)/factor_trimestre," - ")</f>
        <v>10.251564455569461</v>
      </c>
      <c r="AN9" s="244">
        <f>IF(ISNUMBER('Resol  Asuntos'!D9/NºAsuntos!G9),'Resol  Asuntos'!D9/NºAsuntos!G9," - ")</f>
        <v>0.24447225698790154</v>
      </c>
      <c r="AO9" s="245">
        <f>IF(ISNUMBER((NºAsuntos!C9+NºAsuntos!E9)/NºAsuntos!G9),(NºAsuntos!C9+NºAsuntos!E9)/NºAsuntos!G9," - ")</f>
        <v>4.4171881518564868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106</v>
      </c>
      <c r="G10" s="333">
        <f>IF(ISNUMBER(Datos!I10),Datos!I10," - ")</f>
        <v>106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116</v>
      </c>
      <c r="AB10" s="334">
        <f>IF(ISNUMBER(Datos!R10),Datos!R10," - ")</f>
        <v>46</v>
      </c>
      <c r="AC10" s="334">
        <f t="shared" ref="AC10:AC12" si="1">IF(ISNUMBER(AA10+AB10),AA10+AB10," - ")</f>
        <v>162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17</v>
      </c>
      <c r="AJ10" s="231" t="str">
        <f>IF(ISNUMBER(Datos!BW10),Datos!BW10," - ")</f>
        <v xml:space="preserve"> - </v>
      </c>
      <c r="AK10" s="232" t="str">
        <f>IF(ISNUMBER(Datos!BX10),Datos!BX10," - ")</f>
        <v xml:space="preserve"> - </v>
      </c>
      <c r="AL10" s="243">
        <f>IF(ISNUMBER(NºAsuntos!G10/NºAsuntos!E10),NºAsuntos!G10/NºAsuntos!E10," - ")</f>
        <v>0.72972972972972971</v>
      </c>
      <c r="AM10" s="260">
        <f>IF(ISNUMBER(((NºAsuntos!I10/NºAsuntos!G10)*11)/factor_trimestre),((NºAsuntos!I10/NºAsuntos!G10)*11)/factor_trimestre," - ")</f>
        <v>12.888888888888891</v>
      </c>
      <c r="AN10" s="244">
        <f>IF(ISNUMBER('Resol  Asuntos'!D10/NºAsuntos!G10),'Resol  Asuntos'!D10/NºAsuntos!G10," - ")</f>
        <v>0.62962962962962965</v>
      </c>
      <c r="AO10" s="245">
        <f>IF(ISNUMBER((NºAsuntos!C10+NºAsuntos!E10)/NºAsuntos!G10),(NºAsuntos!C10+NºAsuntos!E10)/NºAsuntos!G10," - ")</f>
        <v>5.2962962962962967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106</v>
      </c>
      <c r="G13" s="866">
        <f t="shared" si="3"/>
        <v>106</v>
      </c>
      <c r="H13" s="865">
        <f t="shared" si="3"/>
        <v>0</v>
      </c>
      <c r="I13" s="867">
        <f t="shared" si="3"/>
        <v>0</v>
      </c>
      <c r="J13" s="867">
        <f t="shared" si="3"/>
        <v>0</v>
      </c>
      <c r="K13" s="867">
        <f t="shared" si="3"/>
        <v>0</v>
      </c>
      <c r="L13" s="867">
        <f t="shared" si="3"/>
        <v>472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516</v>
      </c>
      <c r="Y13" s="868">
        <f t="shared" si="4"/>
        <v>543</v>
      </c>
      <c r="Z13" s="868">
        <f t="shared" si="4"/>
        <v>0</v>
      </c>
      <c r="AA13" s="868">
        <f t="shared" si="4"/>
        <v>116</v>
      </c>
      <c r="AB13" s="868">
        <f t="shared" si="4"/>
        <v>6774</v>
      </c>
      <c r="AC13" s="868">
        <f t="shared" si="4"/>
        <v>162</v>
      </c>
      <c r="AD13" s="868">
        <f t="shared" si="4"/>
        <v>0</v>
      </c>
      <c r="AE13" s="872">
        <f t="shared" si="4"/>
        <v>0</v>
      </c>
      <c r="AF13" s="865">
        <f t="shared" si="4"/>
        <v>0</v>
      </c>
      <c r="AG13" s="873">
        <f t="shared" si="4"/>
        <v>0</v>
      </c>
      <c r="AH13" s="870">
        <f t="shared" si="4"/>
        <v>0</v>
      </c>
      <c r="AI13" s="865">
        <f t="shared" si="4"/>
        <v>603</v>
      </c>
      <c r="AJ13" s="867">
        <f t="shared" si="4"/>
        <v>0</v>
      </c>
      <c r="AK13" s="870">
        <f>SUBTOTAL(9,AK9:AK12)</f>
        <v>0</v>
      </c>
      <c r="AL13" s="874">
        <f>IF(ISNUMBER(NºAsuntos!G13/NºAsuntos!E13),NºAsuntos!G13/NºAsuntos!E13," - ")</f>
        <v>0.62603305785123964</v>
      </c>
      <c r="AM13" s="874">
        <f>IF(ISNUMBER(((NºAsuntos!I13/NºAsuntos!G13)*11)/factor_trimestre),((NºAsuntos!I13/NºAsuntos!G13)*11)/factor_trimestre," - ")</f>
        <v>10.282178217821782</v>
      </c>
      <c r="AN13" s="875">
        <f>IF(ISNUMBER('Resol  Asuntos'!D13/NºAsuntos!G13),'Resol  Asuntos'!D13/NºAsuntos!G13," - ")</f>
        <v>0.24876237623762376</v>
      </c>
      <c r="AO13" s="876">
        <f>IF(ISNUMBER((NºAsuntos!C13+NºAsuntos!E13)/NºAsuntos!G13),(NºAsuntos!C13+NºAsuntos!E13)/NºAsuntos!G13," - ")</f>
        <v>4.4273927392739276</v>
      </c>
      <c r="AP13" s="877" t="str">
        <f t="shared" si="2"/>
        <v xml:space="preserve"> - </v>
      </c>
      <c r="AQ13" s="877">
        <f>IF(ISNUMBER((H13-W13+K13)/(F13)),(H13-W13+K13)/(F13)," - ")</f>
        <v>-0.25471698113207547</v>
      </c>
      <c r="AR13" s="878">
        <f>IF(ISNUMBER((Datos!P13-Datos!Q13)/(Datos!R13-Datos!P13+Datos!Q13)),(Datos!P13-Datos!Q13)/(Datos!R13-Datos!P13+Datos!Q13)," - ")</f>
        <v>-6.4535054268113814E-3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3240</v>
      </c>
      <c r="G15" s="333">
        <f>IF(ISNUMBER(IF(D_I="SI",Datos!I15,Datos!I15+Datos!AC15)),IF(D_I="SI",Datos!I15,Datos!I15+Datos!AC15)," - ")</f>
        <v>3192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1743</v>
      </c>
      <c r="X15" s="226">
        <f>IF(ISNUMBER(Datos!Q15),Datos!Q15," - ")</f>
        <v>119</v>
      </c>
      <c r="Y15" s="334">
        <f>SUM(W15)</f>
        <v>1743</v>
      </c>
      <c r="Z15" s="335" t="str">
        <f>IF(ISNUMBER(Datos!CC15),Datos!CC15," - ")</f>
        <v xml:space="preserve"> - </v>
      </c>
      <c r="AA15" s="332">
        <f>IF(ISNUMBER(IF(D_I="SI",Datos!L15,Datos!L15+Datos!AF15)),IF(D_I="SI",Datos!L15,Datos!L15+Datos!AF15)," - ")</f>
        <v>3360</v>
      </c>
      <c r="AB15" s="334">
        <f>IF(ISNUMBER(Datos!R15),Datos!R15," - ")</f>
        <v>345</v>
      </c>
      <c r="AC15" s="334">
        <f t="shared" ref="AC15:AC17" si="6">IF(ISNUMBER(AA15+AB15),AA15+AB15," - ")</f>
        <v>3705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329</v>
      </c>
      <c r="AJ15" s="231" t="str">
        <f>IF(ISNUMBER(Datos!BW15),Datos!BW15," - ")</f>
        <v xml:space="preserve"> - </v>
      </c>
      <c r="AK15" s="232" t="str">
        <f>IF(ISNUMBER(Datos!BX15),Datos!BX15," - ")</f>
        <v xml:space="preserve"> - </v>
      </c>
      <c r="AL15" s="243">
        <f>IF(ISNUMBER(NºAsuntos!G15/NºAsuntos!E15),NºAsuntos!G15/NºAsuntos!E15," - ")</f>
        <v>0.93558776167471824</v>
      </c>
      <c r="AM15" s="260">
        <f>IF(ISNUMBER(((NºAsuntos!I15/NºAsuntos!G15)*11)/factor_trimestre),((NºAsuntos!I15/NºAsuntos!G15)*11)/factor_trimestre," - ")</f>
        <v>5.7831325301204828</v>
      </c>
      <c r="AN15" s="244">
        <f>IF(ISNUMBER('Resol  Asuntos'!D15/NºAsuntos!G15),'Resol  Asuntos'!D15/NºAsuntos!G15," - ")</f>
        <v>0.18875502008032127</v>
      </c>
      <c r="AO15" s="245">
        <f>IF(ISNUMBER((NºAsuntos!C15+NºAsuntos!E15)/NºAsuntos!G15),(NºAsuntos!C15+NºAsuntos!E15)/NºAsuntos!G15," - ")</f>
        <v>2.9001721170395869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0</v>
      </c>
      <c r="AC16" s="334">
        <f t="shared" si="6"/>
        <v>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389</v>
      </c>
      <c r="X17" s="226">
        <f>IF(ISNUMBER(Datos!Q17),Datos!Q17," - ")</f>
        <v>1</v>
      </c>
      <c r="Y17" s="334">
        <f t="shared" si="7"/>
        <v>390</v>
      </c>
      <c r="Z17" s="335" t="str">
        <f>IF(ISNUMBER(Datos!CC17),Datos!CC17," - ")</f>
        <v xml:space="preserve"> - </v>
      </c>
      <c r="AA17" s="332">
        <f>IF(ISNUMBER(Datos!L17),Datos!L17,"-")</f>
        <v>351</v>
      </c>
      <c r="AB17" s="334">
        <f>IF(ISNUMBER(Datos!R17),Datos!R17," - ")</f>
        <v>10</v>
      </c>
      <c r="AC17" s="334">
        <f t="shared" si="6"/>
        <v>361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53</v>
      </c>
      <c r="AJ17" s="231" t="str">
        <f>IF(ISNUMBER(Datos!BW17),Datos!BW17," - ")</f>
        <v xml:space="preserve"> - </v>
      </c>
      <c r="AK17" s="232" t="str">
        <f>IF(ISNUMBER(Datos!BX17),Datos!BX17," - ")</f>
        <v xml:space="preserve"> - </v>
      </c>
      <c r="AL17" s="243">
        <f>IF(ISNUMBER(NºAsuntos!G17/NºAsuntos!E17),NºAsuntos!G17/NºAsuntos!E17," - ")</f>
        <v>0.95343137254901966</v>
      </c>
      <c r="AM17" s="260">
        <f>IF(ISNUMBER(((NºAsuntos!I17/NºAsuntos!G17)*11)/factor_trimestre),((NºAsuntos!I17/NºAsuntos!G17)*11)/factor_trimestre," - ")</f>
        <v>2.7069408740359902</v>
      </c>
      <c r="AN17" s="244">
        <f>IF(ISNUMBER('Resol  Asuntos'!D17/NºAsuntos!G17),'Resol  Asuntos'!D17/NºAsuntos!G17," - ")</f>
        <v>0.13624678663239073</v>
      </c>
      <c r="AO17" s="245">
        <f>IF(ISNUMBER((NºAsuntos!C17+NºAsuntos!E17)/NºAsuntos!G17),(NºAsuntos!C17+NºAsuntos!E17)/NºAsuntos!G17," - ")</f>
        <v>1.9023136246786632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3242</v>
      </c>
      <c r="G18" s="866">
        <f>SUBTOTAL(9,G15:G17)</f>
        <v>3526</v>
      </c>
      <c r="H18" s="865">
        <f t="shared" ref="H18:O18" si="10">SUBTOTAL(9,H14:H17)</f>
        <v>0</v>
      </c>
      <c r="I18" s="867">
        <f t="shared" si="10"/>
        <v>0</v>
      </c>
      <c r="J18" s="867">
        <f t="shared" si="10"/>
        <v>0</v>
      </c>
      <c r="K18" s="867">
        <f t="shared" si="10"/>
        <v>0</v>
      </c>
      <c r="L18" s="867">
        <f t="shared" si="10"/>
        <v>107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2132</v>
      </c>
      <c r="X18" s="867">
        <f t="shared" si="11"/>
        <v>120</v>
      </c>
      <c r="Y18" s="868">
        <f t="shared" si="11"/>
        <v>2133</v>
      </c>
      <c r="Z18" s="868">
        <f t="shared" si="11"/>
        <v>0</v>
      </c>
      <c r="AA18" s="868">
        <f t="shared" si="11"/>
        <v>3713</v>
      </c>
      <c r="AB18" s="868">
        <f t="shared" si="11"/>
        <v>355</v>
      </c>
      <c r="AC18" s="868">
        <f t="shared" si="11"/>
        <v>4068</v>
      </c>
      <c r="AD18" s="868">
        <f t="shared" si="11"/>
        <v>0</v>
      </c>
      <c r="AE18" s="872">
        <f t="shared" si="11"/>
        <v>0</v>
      </c>
      <c r="AF18" s="865">
        <f t="shared" si="11"/>
        <v>0</v>
      </c>
      <c r="AG18" s="873">
        <f t="shared" si="11"/>
        <v>0</v>
      </c>
      <c r="AH18" s="870">
        <f t="shared" si="11"/>
        <v>0</v>
      </c>
      <c r="AI18" s="865">
        <f t="shared" si="11"/>
        <v>382</v>
      </c>
      <c r="AJ18" s="867">
        <f t="shared" si="11"/>
        <v>0</v>
      </c>
      <c r="AK18" s="870">
        <f t="shared" si="11"/>
        <v>0</v>
      </c>
      <c r="AL18" s="874">
        <f>IF(ISNUMBER(NºAsuntos!G18/NºAsuntos!E18),NºAsuntos!G18/NºAsuntos!E18," - ")</f>
        <v>0.93879348304711585</v>
      </c>
      <c r="AM18" s="874">
        <f>IF(ISNUMBER(((NºAsuntos!I18/NºAsuntos!G18)*11)/factor_trimestre),((NºAsuntos!I18/NºAsuntos!G18)*11)/factor_trimestre," - ")</f>
        <v>5.2246716697936222</v>
      </c>
      <c r="AN18" s="875">
        <f>IF(ISNUMBER('Resol  Asuntos'!D18/NºAsuntos!G18),'Resol  Asuntos'!D18/NºAsuntos!G18," - ")</f>
        <v>0.17917448405253283</v>
      </c>
      <c r="AO18" s="876">
        <f>IF(ISNUMBER((NºAsuntos!C18+NºAsuntos!E18)/NºAsuntos!G18),(NºAsuntos!C18+NºAsuntos!E18)/NºAsuntos!G18," - ")</f>
        <v>2.7190431519699811</v>
      </c>
      <c r="AP18" s="877" t="str">
        <f t="shared" si="2"/>
        <v xml:space="preserve"> - </v>
      </c>
      <c r="AQ18" s="877">
        <f>IF(ISNUMBER((H18-W18+K18)/(F18)),(H18-W18+K18)/(F18)," - ")</f>
        <v>-0.65761875385564461</v>
      </c>
      <c r="AR18" s="878">
        <f>IF(ISNUMBER((Datos!P18-Datos!Q18)/(Datos!R18-Datos!P18+Datos!Q18)),(Datos!P18-Datos!Q18)/(Datos!R18-Datos!P18+Datos!Q18)," - ")</f>
        <v>-3.5326086956521736E-2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3348</v>
      </c>
      <c r="G19" s="821">
        <f t="shared" si="13"/>
        <v>3632</v>
      </c>
      <c r="H19" s="820">
        <f t="shared" si="13"/>
        <v>0</v>
      </c>
      <c r="I19" s="822">
        <f t="shared" si="13"/>
        <v>0</v>
      </c>
      <c r="J19" s="822">
        <f t="shared" si="13"/>
        <v>0</v>
      </c>
      <c r="K19" s="881">
        <f t="shared" si="13"/>
        <v>0</v>
      </c>
      <c r="L19" s="822">
        <f t="shared" si="13"/>
        <v>579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2159</v>
      </c>
      <c r="X19" s="821">
        <f t="shared" si="14"/>
        <v>636</v>
      </c>
      <c r="Y19" s="828">
        <f t="shared" si="14"/>
        <v>2676</v>
      </c>
      <c r="Z19" s="828">
        <f t="shared" si="14"/>
        <v>0</v>
      </c>
      <c r="AA19" s="828">
        <f t="shared" si="14"/>
        <v>3829</v>
      </c>
      <c r="AB19" s="828">
        <f t="shared" si="14"/>
        <v>7129</v>
      </c>
      <c r="AC19" s="828">
        <f t="shared" si="14"/>
        <v>4230</v>
      </c>
      <c r="AD19" s="828">
        <f t="shared" si="14"/>
        <v>0</v>
      </c>
      <c r="AE19" s="830">
        <f t="shared" si="14"/>
        <v>0</v>
      </c>
      <c r="AF19" s="831">
        <f t="shared" si="14"/>
        <v>0</v>
      </c>
      <c r="AG19" s="832">
        <f t="shared" si="14"/>
        <v>0</v>
      </c>
      <c r="AH19" s="830">
        <f t="shared" si="14"/>
        <v>0</v>
      </c>
      <c r="AI19" s="820">
        <f t="shared" si="14"/>
        <v>985</v>
      </c>
      <c r="AJ19" s="820">
        <f t="shared" si="14"/>
        <v>0</v>
      </c>
      <c r="AK19" s="830">
        <f t="shared" si="14"/>
        <v>0</v>
      </c>
      <c r="AL19" s="884">
        <f>IF(ISNUMBER(NºAsuntos!G19/NºAsuntos!E19),NºAsuntos!G19/NºAsuntos!E19," - ")</f>
        <v>0.7416571707634706</v>
      </c>
      <c r="AM19" s="885">
        <f>IF(ISNUMBER(((NºAsuntos!I19/NºAsuntos!G19)*11)/factor_trimestre),((NºAsuntos!I19/NºAsuntos!G19)*11)/factor_trimestre," - ")</f>
        <v>7.9154960491659354</v>
      </c>
      <c r="AN19" s="885">
        <f>IF(ISNUMBER('Resol  Asuntos'!D19/NºAsuntos!G19),'Resol  Asuntos'!D19/NºAsuntos!G19," - ")</f>
        <v>0.21619841966637401</v>
      </c>
      <c r="AO19" s="886">
        <f>IF(ISNUMBER((NºAsuntos!C19+NºAsuntos!E19)/NºAsuntos!G19),(NºAsuntos!C19+NºAsuntos!E19)/NºAsuntos!G19," - ")</f>
        <v>3.6279631255487268</v>
      </c>
      <c r="AP19" s="887" t="str">
        <f t="shared" si="2"/>
        <v xml:space="preserve"> - </v>
      </c>
      <c r="AQ19" s="888">
        <f>IF(OR(ISNUMBER(FIND("01",Criterios!A8,1)),ISNUMBER(FIND("02",Criterios!A8,1)),ISNUMBER(FIND("03",Criterios!A8,1)),ISNUMBER(FIND("04",Criterios!A8,1))),(I19-W19+K19)/(F19-K19),(H19-W19+K19)/(F19-K19))</f>
        <v>-0.64486260454002386</v>
      </c>
      <c r="AR19" s="889">
        <f>IF(ISNUMBER((Datos!P19-Datos!Q19)/(Datos!R19-Datos!P19+Datos!Q19)),(Datos!P19-Datos!Q19)/(Datos!R19-Datos!P19+Datos!Q19)," - ")</f>
        <v>-7.9320901753409407E-3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1210.6666666666667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1736.617171399615</v>
      </c>
      <c r="G21" s="253">
        <f>IF(ISNUMBER(STDEV(G8:G18)),STDEV(G8:G18),"-")</f>
        <v>1670.9253324630238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962.15709043101003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261.63101061282032</v>
      </c>
      <c r="AJ21" s="252">
        <f t="shared" si="18"/>
        <v>0</v>
      </c>
      <c r="AK21" s="254">
        <f t="shared" si="18"/>
        <v>0</v>
      </c>
      <c r="AL21" s="249">
        <f t="shared" si="18"/>
        <v>0.15936907438340628</v>
      </c>
      <c r="AM21" s="250">
        <f t="shared" si="18"/>
        <v>3.8649325548881701</v>
      </c>
      <c r="AN21" s="250">
        <f t="shared" si="18"/>
        <v>0.18064764292038921</v>
      </c>
      <c r="AO21" s="251">
        <f t="shared" si="18"/>
        <v>1.294382503102121</v>
      </c>
      <c r="AP21" s="291" t="str">
        <f t="shared" si="18"/>
        <v>-</v>
      </c>
      <c r="AQ21" s="292">
        <f t="shared" si="18"/>
        <v>0.28489457564491683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9Zytac4TkPxuhvOtRL75YWlPecKh6rGBXcOtPSVpd/IoYwG6c83q0ulAqOVwu9DpTlQEyGx42AYyoX5PYFz7ZA==" saltValue="OJWpt3y0NcJLQB7rq/PSZ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BENIDORM</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0.21576763485477179</v>
      </c>
      <c r="I9" s="350">
        <f>IF(ISNUMBER((Tasas!C9-Datos!BE9)/Datos!BE9),(Tasas!C9-Datos!BE9)/Datos!BE9," - ")</f>
        <v>0.42949356525918403</v>
      </c>
      <c r="J9" s="349">
        <f>IF(ISNUMBER((Tasas!D9-Datos!BF9)/Datos!BF9),(Tasas!D9-Datos!BF9)/Datos!BF9," - ")</f>
        <v>-0.4019952902707894</v>
      </c>
      <c r="K9" s="351">
        <f>IF(ISNUMBER((Tasas!E9-Datos!BG9)/Datos!BG9),(Tasas!E9-Datos!BG9)/Datos!BG9," - ")</f>
        <v>0.34344416720475945</v>
      </c>
      <c r="M9" t="e">
        <f>IF(Monitorios="SI",Datos!CE9,0)</f>
        <v>#REF!</v>
      </c>
      <c r="N9" t="e">
        <f>IF(Monitorios="SI",Datos!CF9,0)</f>
        <v>#REF!</v>
      </c>
      <c r="O9" t="e">
        <f>IF(Monitorios="SI",Datos!CG9,0)</f>
        <v>#REF!</v>
      </c>
      <c r="P9" t="e">
        <f>IF(Monitorios="SI",Datos!CH9,0)</f>
        <v>#REF!</v>
      </c>
      <c r="Q9">
        <f>IF(J_V="SI",0,Datos!AG9)</f>
        <v>150</v>
      </c>
      <c r="R9">
        <f>IF(J_V="SI",0,Datos!AH9)</f>
        <v>87</v>
      </c>
      <c r="S9">
        <f>IF(J_V="SI",0,Datos!AI9)</f>
        <v>110</v>
      </c>
      <c r="T9">
        <f>IF(J_V="SI",0,Datos!AJ9)</f>
        <v>139</v>
      </c>
    </row>
    <row r="10" spans="2:20" ht="14.25">
      <c r="B10" s="275" t="s">
        <v>246</v>
      </c>
      <c r="C10" s="7" t="str">
        <f>Datos!A10</f>
        <v>Jdos. Violencia contra la mujer</v>
      </c>
      <c r="D10" s="352">
        <f>IF(ISNUMBER((Datos!I10-Datos!S10)/Datos!S10),(Datos!I10-Datos!S10)/Datos!S10," - ")</f>
        <v>0.58208955223880599</v>
      </c>
      <c r="E10" s="348">
        <f>IF(ISNUMBER((Datos!J10-Datos!T10)/Datos!T10),(Datos!J10-Datos!T10)/Datos!T10," - ")</f>
        <v>-0.27450980392156865</v>
      </c>
      <c r="F10" s="348">
        <f>IF(ISNUMBER((Datos!K10-Datos!U10)/Datos!U10),(Datos!K10-Datos!U10)/Datos!U10," - ")</f>
        <v>-6.8965517241379309E-2</v>
      </c>
      <c r="G10" s="349">
        <f>IF(ISNUMBER((Datos!L10-Datos!V10)/Datos!V10),(Datos!L10-Datos!V10)/Datos!V10," - ")</f>
        <v>0.30337078651685395</v>
      </c>
      <c r="H10" s="230">
        <f>IF(ISNUMBER((Datos!M10-Datos!W10)/Datos!W10),(Datos!M10-Datos!W10)/Datos!W10," - ")</f>
        <v>0.7</v>
      </c>
      <c r="I10" s="350">
        <f>IF(ISNUMBER((Tasas!C10-Datos!BE10)/Datos!BE10),(Tasas!C10-Datos!BE10)/Datos!BE10," - ")</f>
        <v>0.39991677070328763</v>
      </c>
      <c r="J10" s="349">
        <f>IF(ISNUMBER((Tasas!D10-Datos!BF10)/Datos!BF10),(Tasas!D10-Datos!BF10)/Datos!BF10," - ")</f>
        <v>0.82592592592592584</v>
      </c>
      <c r="K10" s="351">
        <f>IF(ISNUMBER((Tasas!E10-Datos!BG10)/Datos!BG10),(Tasas!E10-Datos!BG10)/Datos!BG10," - ")</f>
        <v>0.30163214061519167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0.22560975609756098</v>
      </c>
      <c r="I13" s="357">
        <f>IF(ISNUMBER((Tasas!C13-Datos!BE13)/Datos!BE13),(Tasas!C13-Datos!BE13)/Datos!BE13," - ")</f>
        <v>0.42818286316962023</v>
      </c>
      <c r="J13" s="355">
        <f>IF(ISNUMBER((Tasas!D13-Datos!BF13)/Datos!BF13),(Tasas!D13-Datos!BF13)/Datos!BF13," - ")</f>
        <v>-0.39030889625393372</v>
      </c>
      <c r="K13" s="358">
        <f>IF(ISNUMBER((Tasas!E13-Datos!BG13)/Datos!BG13),(Tasas!E13-Datos!BG13)/Datos!BG13," - ")</f>
        <v>0.34221245400402123</v>
      </c>
      <c r="M13" t="e">
        <f>IF(Monitorios="SI",Datos!CE13,0)</f>
        <v>#REF!</v>
      </c>
      <c r="N13" t="e">
        <f>IF(Monitorios="SI",Datos!CF13,0)</f>
        <v>#REF!</v>
      </c>
      <c r="O13" t="e">
        <f>IF(Monitorios="SI",Datos!CG13,0)</f>
        <v>#REF!</v>
      </c>
      <c r="P13" t="e">
        <f>IF(Monitorios="SI",Datos!CH13,0)</f>
        <v>#REF!</v>
      </c>
      <c r="Q13">
        <f>IF(J_V="SI",0,Datos!AG13)</f>
        <v>150</v>
      </c>
      <c r="R13">
        <f>IF(J_V="SI",0,Datos!AH13)</f>
        <v>87</v>
      </c>
      <c r="S13">
        <f>IF(J_V="SI",0,Datos!AI13)</f>
        <v>110</v>
      </c>
      <c r="T13">
        <f>IF(J_V="SI",0,Datos!AJ13)</f>
        <v>139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0.17960088691796008</v>
      </c>
      <c r="E15" s="348">
        <f>IF(ISNUMBER(
   IF(D_I="SI",(Datos!J15-Datos!T15)/Datos!T15,(Datos!J15+Datos!AD15-(Datos!T15+Datos!AL15))/(Datos!T15+Datos!AL15))
     ),IF(D_I="SI",(Datos!J15-Datos!T15)/Datos!T15,(Datos!J15+Datos!AD15-(Datos!T15+Datos!AL15))/(Datos!T15+Datos!AL15))," - ")</f>
        <v>-0.14147465437788018</v>
      </c>
      <c r="F15" s="348">
        <f>IF(ISNUMBER(
   IF(D_I="SI",(Datos!K15-Datos!U15)/Datos!U15,(Datos!K15+Datos!AE15-(Datos!U15+Datos!AM15))/(Datos!U15+Datos!AM15))
     ),IF(D_I="SI",(Datos!K15-Datos!U15)/Datos!U15,(Datos!K15+Datos!AE15-(Datos!U15+Datos!AM15))/(Datos!U15+Datos!AM15))," - ")</f>
        <v>-0.17976470588235294</v>
      </c>
      <c r="G15" s="349">
        <f>IF(ISNUMBER(
   IF(D_I="SI",(Datos!L15-Datos!V15)/Datos!V15,(Datos!L15+Datos!AF15-(Datos!V15+Datos!AN15))/(Datos!V15+Datos!AN15))
     ),IF(D_I="SI",(Datos!L15-Datos!V15)/Datos!V15,(Datos!L15+Datos!AF15-(Datos!V15+Datos!AN15))/(Datos!V15+Datos!AN15))," - ")</f>
        <v>0.20516499282639886</v>
      </c>
      <c r="H15" s="230">
        <f>IF(ISNUMBER((Datos!M15-Datos!W15)/Datos!W15),(Datos!M15-Datos!W15)/Datos!W15," - ")</f>
        <v>-1.7910447761194031E-2</v>
      </c>
      <c r="I15" s="350">
        <f>IF(ISNUMBER((Tasas!C15-Datos!BE15)/Datos!BE15),(Tasas!C15-Datos!BE15)/Datos!BE15," - ")</f>
        <v>0.46929180135174836</v>
      </c>
      <c r="J15" s="349">
        <f>IF(ISNUMBER((Tasas!D15-Datos!BF15)/Datos!BF15),(Tasas!D15-Datos!BF15)/Datos!BF15," - ")</f>
        <v>0.19732661991248565</v>
      </c>
      <c r="K15" s="351">
        <f>IF(ISNUMBER((Tasas!E15-Datos!BG15)/Datos!BG15),(Tasas!E15-Datos!BG15)/Datos!BG15," - ")</f>
        <v>0.26391832418152633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0.52995391705069128</v>
      </c>
      <c r="E17" s="348">
        <f>IF(ISNUMBER(
   IF(D_I="SI",(Datos!J17-Datos!T17)/Datos!T17,(Datos!J17+Datos!AD17-(Datos!T17+Datos!AL17))/(Datos!T17+Datos!AL17))
     ),IF(D_I="SI",(Datos!J17-Datos!T17)/Datos!T17,(Datos!J17+Datos!AD17-(Datos!T17+Datos!AL17))/(Datos!T17+Datos!AL17))," - ")</f>
        <v>-3.7735849056603772E-2</v>
      </c>
      <c r="F17" s="348">
        <f>IF(ISNUMBER(
   IF(D_I="SI",(Datos!K17-Datos!U17)/Datos!U17,(Datos!K17+Datos!AE17-(Datos!U17+Datos!AM17))/(Datos!U17+Datos!AM17))
     ),IF(D_I="SI",(Datos!K17-Datos!U17)/Datos!U17,(Datos!K17+Datos!AE17-(Datos!U17+Datos!AM17))/(Datos!U17+Datos!AM17))," - ")</f>
        <v>4.2895442359249331E-2</v>
      </c>
      <c r="G17" s="349">
        <f>IF(ISNUMBER(
   IF(D_I="SI",(Datos!L17-Datos!V17)/Datos!V17,(Datos!L17+Datos!AF17-(Datos!V17+Datos!AN17))/(Datos!V17+Datos!AN17))
     ),IF(D_I="SI",(Datos!L17-Datos!V17)/Datos!V17,(Datos!L17+Datos!AF17-(Datos!V17+Datos!AN17))/(Datos!V17+Datos!AN17))," - ")</f>
        <v>0.30970149253731344</v>
      </c>
      <c r="H17" s="230">
        <f>IF(ISNUMBER((Datos!M17-Datos!W17)/Datos!W17),(Datos!M17-Datos!W17)/Datos!W17," - ")</f>
        <v>0.06</v>
      </c>
      <c r="I17" s="350">
        <f>IF(ISNUMBER((Tasas!C17-Datos!BE17)/Datos!BE17),(Tasas!C17-Datos!BE17)/Datos!BE17," - ")</f>
        <v>0.25583202240724395</v>
      </c>
      <c r="J17" s="349">
        <f>IF(ISNUMBER((Tasas!D17-Datos!BF17)/Datos!BF17),(Tasas!D17-Datos!BF17)/Datos!BF17," - ")</f>
        <v>1.6401028277634812E-2</v>
      </c>
      <c r="K17" s="351">
        <f>IF(ISNUMBER((Tasas!E17-Datos!BG17)/Datos!BG17),(Tasas!E17-Datos!BG17)/Datos!BG17," - ")</f>
        <v>0.10696253042923767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0.20547008547008547</v>
      </c>
      <c r="E18" s="354">
        <f>IF(ISNUMBER(
   IF(D_I="SI",(Datos!J18-Datos!T18)/Datos!T18,(Datos!J18+Datos!AD18-(Datos!T18+Datos!AL18))/(Datos!T18+Datos!AL18))
     ),IF(D_I="SI",(Datos!J18-Datos!T18)/Datos!T18,(Datos!J18+Datos!AD18-(Datos!T18+Datos!AL18))/(Datos!T18+Datos!AL18))," - ")</f>
        <v>-0.12451811873554357</v>
      </c>
      <c r="F18" s="354">
        <f>IF(ISNUMBER(
   IF(D_I="SI",(Datos!K18-Datos!U18)/Datos!U18,(Datos!K18+Datos!AE18-(Datos!U18+Datos!AM18))/(Datos!U18+Datos!AM18))
     ),IF(D_I="SI",(Datos!K18-Datos!U18)/Datos!U18,(Datos!K18+Datos!AE18-(Datos!U18+Datos!AM18))/(Datos!U18+Datos!AM18))," - ")</f>
        <v>-0.14651721377101681</v>
      </c>
      <c r="G18" s="355">
        <f>IF(ISNUMBER(
   IF(D_I="SI",(Datos!L18-Datos!V18)/Datos!V18,(Datos!L18+Datos!AF18-(Datos!V18+Datos!AN18))/(Datos!V18+Datos!AN18))
     ),IF(D_I="SI",(Datos!L18-Datos!V18)/Datos!V18,(Datos!L18+Datos!AF18-(Datos!V18+Datos!AN18))/(Datos!V18+Datos!AN18))," - ")</f>
        <v>0.21419228253760628</v>
      </c>
      <c r="H18" s="356">
        <f>IF(ISNUMBER((Datos!M18-Datos!W18)/Datos!W18),(Datos!M18-Datos!W18)/Datos!W18," - ")</f>
        <v>-7.7922077922077922E-3</v>
      </c>
      <c r="I18" s="357">
        <f>IF(ISNUMBER((Tasas!C18-Datos!BE18)/Datos!BE18),(Tasas!C18-Datos!BE18)/Datos!BE18," - ")</f>
        <v>0.42263242109706406</v>
      </c>
      <c r="J18" s="355">
        <f>IF(ISNUMBER((Tasas!D18-Datos!BF18)/Datos!BF18),(Tasas!D18-Datos!BF18)/Datos!BF18," - ")</f>
        <v>0.16253989912526493</v>
      </c>
      <c r="K18" s="358">
        <f>IF(ISNUMBER((Tasas!E18-Datos!BG18)/Datos!BG18),(Tasas!E18-Datos!BG18)/Datos!BG18," - ")</f>
        <v>0.23068849313662129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0.23687031082529475</v>
      </c>
      <c r="E19" s="363">
        <f>IF(ISNUMBER(
   IF(J_V="SI",(Datos!J19-Datos!T19)/Datos!T19,(Datos!J19+Datos!Z19-(Datos!T19+Datos!AH19))/(Datos!T19+Datos!AH19))
     ),IF(J_V="SI",(Datos!J19-Datos!T19)/Datos!T19,(Datos!J19+Datos!Z19-(Datos!T19+Datos!AH19))/(Datos!T19+Datos!AH19))," - ")</f>
        <v>0.28568438677270824</v>
      </c>
      <c r="F19" s="363">
        <f>IF(ISNUMBER(
   IF(J_V="SI",(Datos!K19-Datos!U19)/Datos!U19,(Datos!K19+Datos!AA19-(Datos!U19+Datos!AI19))/(Datos!U19+Datos!AI19))
     ),IF(J_V="SI",(Datos!K19-Datos!U19)/Datos!U19,(Datos!K19+Datos!AA19-(Datos!U19+Datos!AI19))/(Datos!U19+Datos!AI19))," - ")</f>
        <v>-5.45756380991907E-2</v>
      </c>
      <c r="G19" s="364">
        <f>IF(ISNUMBER(
   IF(J_V="SI",(Datos!L19-Datos!V19)/Datos!V19,(Datos!L19+Datos!AB19-(Datos!V19+Datos!AJ19))/(Datos!V19+Datos!AJ19))
     ),IF(J_V="SI",(Datos!L19-Datos!V19)/Datos!V19,(Datos!L19+Datos!AB19-(Datos!V19+Datos!AJ19))/(Datos!V19+Datos!AJ19))," - ")</f>
        <v>0.39325452016689849</v>
      </c>
      <c r="H19" s="365">
        <f>IF(ISNUMBER((Datos!M19-Datos!W19)/Datos!W19),(Datos!M19-Datos!W19)/Datos!W19," - ")</f>
        <v>0.12314709236031927</v>
      </c>
      <c r="I19" s="362">
        <f>IF(ISNUMBER((Tasas!C19-Datos!BE19)/Datos!BE19),(Tasas!C19-Datos!BE19)/Datos!BE19," - ")</f>
        <v>0.47368163579549688</v>
      </c>
      <c r="J19" s="363">
        <f>IF(ISNUMBER((Tasas!D19-Datos!BF19)/Datos!BF19),(Tasas!D19-Datos!BF19)/Datos!BF19," - ")</f>
        <v>-0.21782268440521299</v>
      </c>
      <c r="K19" s="364">
        <f>IF(ISNUMBER((Tasas!E19-Datos!BG19)/Datos!BG19),(Tasas!E19-Datos!BG19)/Datos!BG19," - ")</f>
        <v>0.32699463392935973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0.24793320941931851</v>
      </c>
      <c r="E21" s="278">
        <f t="shared" si="1"/>
        <v>9.7825605246681824E-2</v>
      </c>
      <c r="F21" s="278">
        <f t="shared" si="1"/>
        <v>9.8895437950849804E-2</v>
      </c>
      <c r="G21" s="279">
        <f t="shared" si="1"/>
        <v>0.12523747422856205</v>
      </c>
      <c r="H21" s="285">
        <f t="shared" si="1"/>
        <v>0.26872604005912115</v>
      </c>
      <c r="I21" s="277">
        <f t="shared" si="1"/>
        <v>7.4508211161667115E-2</v>
      </c>
      <c r="J21" s="278">
        <f t="shared" si="1"/>
        <v>0.45469096155071909</v>
      </c>
      <c r="K21" s="279">
        <f t="shared" si="1"/>
        <v>8.9007008873465174E-2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hWKOhxoewtgTHZkPCzm/BkQ20foPtwpGwg0n1DDh2HTY5hY9id/a3T0EcT8rhYzipb6aK08CaJT8lyP5/8Mvg==" saltValue="hpdV5wMMDfx+zHaQIJZXT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